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410" yWindow="570" windowWidth="24915" windowHeight="11895"/>
  </bookViews>
  <sheets>
    <sheet name="Vítejte" sheetId="4" r:id="rId1"/>
    <sheet name="1 převodovka" sheetId="1" r:id="rId2"/>
    <sheet name="2 převodovky" sheetId="5" r:id="rId3"/>
    <sheet name="3 převodovky" sheetId="8" r:id="rId4"/>
    <sheet name="Poměr mezi nápravami" sheetId="11" r:id="rId5"/>
    <sheet name="Návod" sheetId="10" r:id="rId6"/>
  </sheets>
  <calcPr calcId="145621"/>
</workbook>
</file>

<file path=xl/calcChain.xml><?xml version="1.0" encoding="utf-8"?>
<calcChain xmlns="http://schemas.openxmlformats.org/spreadsheetml/2006/main">
  <c r="S42" i="8" l="1"/>
  <c r="N40" i="8"/>
  <c r="R43" i="8"/>
  <c r="N42" i="8"/>
  <c r="Q40" i="8"/>
  <c r="S40" i="8" s="1"/>
  <c r="AJ92" i="8" l="1"/>
  <c r="AA7" i="8"/>
  <c r="M29" i="5"/>
  <c r="M27" i="5"/>
  <c r="M24" i="5"/>
  <c r="M21" i="5"/>
  <c r="M17" i="5"/>
  <c r="M12" i="5"/>
  <c r="M8" i="5"/>
  <c r="N22" i="8"/>
  <c r="N13" i="8"/>
  <c r="N9" i="8"/>
  <c r="AG125" i="8"/>
  <c r="AG106" i="8"/>
  <c r="N34" i="8"/>
  <c r="N32" i="8"/>
  <c r="N29" i="8"/>
  <c r="N25" i="8"/>
  <c r="N18" i="8"/>
  <c r="X13" i="8"/>
  <c r="V13" i="8"/>
  <c r="K16" i="8"/>
  <c r="K22" i="8"/>
  <c r="T25" i="1" l="1"/>
  <c r="T37" i="5"/>
  <c r="M35" i="5"/>
  <c r="Q38" i="5"/>
  <c r="M37" i="5"/>
  <c r="P35" i="5"/>
  <c r="AN77" i="5" s="1"/>
  <c r="Y11" i="5" s="1"/>
  <c r="T35" i="5" l="1"/>
  <c r="A41" i="11"/>
  <c r="A39" i="11"/>
  <c r="A36" i="11"/>
  <c r="G41" i="11"/>
  <c r="G39" i="11"/>
  <c r="G36" i="11"/>
  <c r="I11" i="11" l="1"/>
  <c r="Q26" i="1" l="1"/>
  <c r="M25" i="1"/>
  <c r="P23" i="1"/>
  <c r="F21" i="1"/>
  <c r="M23" i="1"/>
  <c r="M31" i="1"/>
  <c r="M29" i="1"/>
  <c r="M20" i="1"/>
  <c r="M17" i="1"/>
  <c r="M11" i="1"/>
  <c r="AE94" i="1" l="1"/>
  <c r="V9" i="1" s="1"/>
  <c r="T23" i="1"/>
  <c r="U5" i="11"/>
  <c r="R5" i="11"/>
  <c r="I15" i="11"/>
  <c r="D15" i="11"/>
  <c r="D11" i="11"/>
  <c r="G11" i="11" l="1"/>
  <c r="G23" i="11" s="1"/>
  <c r="AG61" i="8"/>
  <c r="AR62" i="8"/>
  <c r="AQ62" i="8"/>
  <c r="AW7" i="8"/>
  <c r="AV7" i="8"/>
  <c r="AU7" i="8"/>
  <c r="AT7" i="8"/>
  <c r="AS7" i="8"/>
  <c r="AR7" i="8"/>
  <c r="AQ7" i="8"/>
  <c r="AM7" i="8"/>
  <c r="AL7" i="8"/>
  <c r="AK7" i="8"/>
  <c r="AJ7" i="8"/>
  <c r="AI7" i="8"/>
  <c r="AH7" i="8"/>
  <c r="AG7" i="8"/>
  <c r="AC9" i="8"/>
  <c r="AC8" i="8"/>
  <c r="Z8" i="8"/>
  <c r="Z7" i="8"/>
  <c r="Y7" i="8" s="1"/>
  <c r="X12" i="8"/>
  <c r="W12" i="8" s="1"/>
  <c r="X11" i="8"/>
  <c r="W11" i="8" s="1"/>
  <c r="X10" i="8"/>
  <c r="W10" i="8" s="1"/>
  <c r="X9" i="8"/>
  <c r="X8" i="8"/>
  <c r="X7" i="8"/>
  <c r="V12" i="8"/>
  <c r="V11" i="8"/>
  <c r="V10" i="8"/>
  <c r="V9" i="8"/>
  <c r="V8" i="8"/>
  <c r="V7" i="8"/>
  <c r="AG100" i="5"/>
  <c r="AD86" i="5"/>
  <c r="AD63" i="5"/>
  <c r="AT7" i="5"/>
  <c r="AS7" i="5"/>
  <c r="AR7" i="5"/>
  <c r="AQ7" i="5"/>
  <c r="AP7" i="5"/>
  <c r="AO7" i="5"/>
  <c r="AN7" i="5"/>
  <c r="AJ7" i="5"/>
  <c r="AI7" i="5"/>
  <c r="AH7" i="5"/>
  <c r="AG7" i="5"/>
  <c r="AF7" i="5"/>
  <c r="AE7" i="5"/>
  <c r="AD7" i="5"/>
  <c r="J21" i="5"/>
  <c r="J16" i="5"/>
  <c r="W12" i="5"/>
  <c r="W11" i="5"/>
  <c r="W10" i="5"/>
  <c r="W9" i="5"/>
  <c r="W8" i="5"/>
  <c r="W7" i="5"/>
  <c r="W6" i="5"/>
  <c r="U12" i="5"/>
  <c r="U11" i="5"/>
  <c r="U10" i="5"/>
  <c r="U9" i="5"/>
  <c r="U8" i="5"/>
  <c r="U7" i="5"/>
  <c r="U6" i="5"/>
  <c r="Z8" i="5"/>
  <c r="Z7" i="5"/>
  <c r="AB74" i="1"/>
  <c r="AB63" i="1"/>
  <c r="AG7" i="1"/>
  <c r="AF7" i="1"/>
  <c r="AE7" i="1"/>
  <c r="AD7" i="1"/>
  <c r="AC7" i="1"/>
  <c r="AB7" i="1"/>
  <c r="I21" i="1"/>
  <c r="I15" i="1"/>
  <c r="H15" i="1"/>
  <c r="U14" i="1"/>
  <c r="U13" i="1"/>
  <c r="I39" i="1" s="1"/>
  <c r="U12" i="1"/>
  <c r="U11" i="1"/>
  <c r="U10" i="1"/>
  <c r="U9" i="1"/>
  <c r="X11" i="1"/>
  <c r="X10" i="1"/>
  <c r="U10" i="8" l="1"/>
  <c r="F50" i="8"/>
  <c r="F53" i="8"/>
  <c r="F51" i="8"/>
  <c r="F45" i="8"/>
  <c r="F41" i="8"/>
  <c r="F55" i="8"/>
  <c r="F52" i="8"/>
  <c r="F54" i="8"/>
  <c r="F44" i="8"/>
  <c r="F43" i="8"/>
  <c r="F42" i="8"/>
  <c r="F40" i="8"/>
  <c r="D54" i="8"/>
  <c r="D42" i="8"/>
  <c r="D44" i="8"/>
  <c r="D50" i="8"/>
  <c r="D51" i="8"/>
  <c r="D41" i="8"/>
  <c r="D43" i="8"/>
  <c r="D40" i="8"/>
  <c r="D53" i="8"/>
  <c r="D55" i="8"/>
  <c r="D52" i="8"/>
  <c r="D45" i="8"/>
  <c r="H51" i="8"/>
  <c r="H54" i="8"/>
  <c r="H43" i="8"/>
  <c r="H42" i="8"/>
  <c r="H55" i="8"/>
  <c r="H52" i="8"/>
  <c r="H50" i="8"/>
  <c r="H40" i="8"/>
  <c r="H41" i="8"/>
  <c r="H44" i="8"/>
  <c r="H45" i="8"/>
  <c r="H53" i="8"/>
  <c r="E51" i="8"/>
  <c r="E53" i="8"/>
  <c r="E50" i="8"/>
  <c r="E43" i="8"/>
  <c r="E45" i="8"/>
  <c r="E42" i="8"/>
  <c r="E52" i="8"/>
  <c r="E54" i="8"/>
  <c r="E40" i="8"/>
  <c r="E55" i="8"/>
  <c r="E44" i="8"/>
  <c r="E41" i="8"/>
  <c r="U11" i="8"/>
  <c r="G51" i="8"/>
  <c r="G54" i="8"/>
  <c r="G41" i="8"/>
  <c r="G42" i="8"/>
  <c r="G52" i="8"/>
  <c r="G55" i="8"/>
  <c r="G45" i="8"/>
  <c r="G40" i="8"/>
  <c r="G53" i="8"/>
  <c r="G50" i="8"/>
  <c r="G43" i="8"/>
  <c r="G44" i="8"/>
  <c r="C52" i="8"/>
  <c r="C41" i="8"/>
  <c r="C51" i="8"/>
  <c r="C43" i="8"/>
  <c r="C45" i="8"/>
  <c r="C42" i="8"/>
  <c r="C54" i="8"/>
  <c r="C53" i="8"/>
  <c r="C40" i="8"/>
  <c r="C55" i="8"/>
  <c r="C50" i="8"/>
  <c r="C44" i="8"/>
  <c r="U12" i="8"/>
  <c r="D43" i="5"/>
  <c r="D40" i="5"/>
  <c r="D44" i="5"/>
  <c r="D45" i="5"/>
  <c r="D42" i="5"/>
  <c r="D41" i="5"/>
  <c r="H43" i="5"/>
  <c r="H41" i="5"/>
  <c r="H42" i="5"/>
  <c r="H44" i="5"/>
  <c r="H45" i="5"/>
  <c r="H40" i="5"/>
  <c r="E42" i="5"/>
  <c r="E45" i="5"/>
  <c r="E43" i="5"/>
  <c r="E44" i="5"/>
  <c r="E41" i="5"/>
  <c r="E40" i="5"/>
  <c r="C42" i="5"/>
  <c r="C43" i="5"/>
  <c r="C40" i="5"/>
  <c r="C41" i="5"/>
  <c r="C44" i="5"/>
  <c r="C45" i="5"/>
  <c r="F43" i="5"/>
  <c r="F40" i="5"/>
  <c r="F45" i="5"/>
  <c r="F44" i="5"/>
  <c r="F41" i="5"/>
  <c r="F42" i="5"/>
  <c r="G40" i="5"/>
  <c r="G43" i="5"/>
  <c r="G44" i="5"/>
  <c r="G42" i="5"/>
  <c r="G41" i="5"/>
  <c r="G45" i="5"/>
  <c r="G18" i="11"/>
  <c r="H18" i="11" s="1"/>
  <c r="E16" i="11"/>
  <c r="G39" i="1"/>
  <c r="I38" i="1"/>
  <c r="G38" i="1" s="1"/>
  <c r="E35" i="1"/>
  <c r="G35" i="1"/>
  <c r="I35" i="1"/>
  <c r="I36" i="1"/>
  <c r="G36" i="1"/>
  <c r="E36" i="1"/>
  <c r="I40" i="1"/>
  <c r="G40" i="1"/>
  <c r="E40" i="1"/>
  <c r="E39" i="1"/>
  <c r="E37" i="1"/>
  <c r="I37" i="1"/>
  <c r="G37" i="1"/>
  <c r="Y8" i="8"/>
  <c r="V11" i="5"/>
  <c r="V10" i="5"/>
  <c r="V9" i="5"/>
  <c r="V8" i="5"/>
  <c r="E38" i="1" l="1"/>
  <c r="W13" i="5"/>
  <c r="T11" i="5"/>
  <c r="T10" i="5"/>
  <c r="T9" i="5"/>
  <c r="T8" i="5"/>
  <c r="P34" i="1" l="1"/>
  <c r="P32" i="5"/>
  <c r="Q37" i="8"/>
  <c r="D44" i="11"/>
  <c r="J44" i="11"/>
  <c r="J39" i="11" l="1"/>
  <c r="U49" i="11" s="1"/>
  <c r="D39" i="11"/>
  <c r="R49" i="11" s="1"/>
  <c r="AD9" i="8" l="1"/>
  <c r="AD8" i="8"/>
  <c r="Q32" i="8"/>
  <c r="AJ61" i="8" s="1"/>
  <c r="P27" i="5"/>
  <c r="AG62" i="5" s="1"/>
  <c r="H80" i="8" l="1"/>
  <c r="H83" i="8"/>
  <c r="H94" i="8"/>
  <c r="H93" i="8"/>
  <c r="H84" i="8"/>
  <c r="H90" i="8"/>
  <c r="H85" i="8"/>
  <c r="H91" i="8"/>
  <c r="H82" i="8"/>
  <c r="H81" i="8"/>
  <c r="H95" i="8"/>
  <c r="H92" i="8"/>
  <c r="H64" i="8"/>
  <c r="H70" i="8"/>
  <c r="H63" i="8"/>
  <c r="H65" i="8"/>
  <c r="H74" i="8"/>
  <c r="H60" i="8"/>
  <c r="H71" i="8"/>
  <c r="H61" i="8"/>
  <c r="H75" i="8"/>
  <c r="H62" i="8"/>
  <c r="H72" i="8"/>
  <c r="H73" i="8"/>
  <c r="N24" i="11"/>
  <c r="Z14" i="8"/>
  <c r="X14" i="8"/>
  <c r="V14" i="8"/>
  <c r="F67" i="8"/>
  <c r="F77" i="8"/>
  <c r="F87" i="8"/>
  <c r="F57" i="8"/>
  <c r="F75" i="8"/>
  <c r="G74" i="8"/>
  <c r="E70" i="8"/>
  <c r="C70" i="8"/>
  <c r="F71" i="8"/>
  <c r="D74" i="8"/>
  <c r="D70" i="8"/>
  <c r="C71" i="8"/>
  <c r="G71" i="8"/>
  <c r="E72" i="8"/>
  <c r="C73" i="8"/>
  <c r="G73" i="8"/>
  <c r="E74" i="8"/>
  <c r="C75" i="8"/>
  <c r="G75" i="8"/>
  <c r="F70" i="8"/>
  <c r="D71" i="8"/>
  <c r="F72" i="8"/>
  <c r="D73" i="8"/>
  <c r="F74" i="8"/>
  <c r="D75" i="8"/>
  <c r="G70" i="8"/>
  <c r="E71" i="8"/>
  <c r="C72" i="8"/>
  <c r="G72" i="8"/>
  <c r="E73" i="8"/>
  <c r="C74" i="8"/>
  <c r="E75" i="8"/>
  <c r="D72" i="8"/>
  <c r="F73" i="8"/>
  <c r="D63" i="8"/>
  <c r="E84" i="8"/>
  <c r="C81" i="8"/>
  <c r="C65" i="8"/>
  <c r="G65" i="8"/>
  <c r="D80" i="8"/>
  <c r="F64" i="8"/>
  <c r="D61" i="8"/>
  <c r="U13" i="5"/>
  <c r="J33" i="5" s="1"/>
  <c r="P29" i="1"/>
  <c r="AE62" i="1" s="1"/>
  <c r="G57" i="5"/>
  <c r="G47" i="5"/>
  <c r="K32" i="8" l="1"/>
  <c r="K30" i="8" s="1"/>
  <c r="D91" i="8"/>
  <c r="F91" i="8"/>
  <c r="G90" i="8"/>
  <c r="G91" i="8"/>
  <c r="E94" i="8"/>
  <c r="E93" i="8"/>
  <c r="C95" i="8"/>
  <c r="E92" i="8"/>
  <c r="F95" i="8"/>
  <c r="D92" i="8"/>
  <c r="G94" i="8"/>
  <c r="D94" i="8"/>
  <c r="C92" i="8"/>
  <c r="F94" i="8"/>
  <c r="G92" i="8"/>
  <c r="E95" i="8"/>
  <c r="G93" i="8"/>
  <c r="C91" i="8"/>
  <c r="F93" i="8"/>
  <c r="E91" i="8"/>
  <c r="C94" i="8"/>
  <c r="D93" i="8"/>
  <c r="F90" i="8"/>
  <c r="C93" i="8"/>
  <c r="E90" i="8"/>
  <c r="D90" i="8"/>
  <c r="C90" i="8"/>
  <c r="D95" i="8"/>
  <c r="F92" i="8"/>
  <c r="G95" i="8"/>
  <c r="C80" i="8"/>
  <c r="C60" i="8"/>
  <c r="F28" i="8" s="1"/>
  <c r="E64" i="8"/>
  <c r="D83" i="8"/>
  <c r="G85" i="8"/>
  <c r="D81" i="8"/>
  <c r="C85" i="8"/>
  <c r="F84" i="8"/>
  <c r="F80" i="8"/>
  <c r="F60" i="8"/>
  <c r="E81" i="8"/>
  <c r="E61" i="8"/>
  <c r="D60" i="8"/>
  <c r="F82" i="8"/>
  <c r="F62" i="8"/>
  <c r="G81" i="8"/>
  <c r="G61" i="8"/>
  <c r="D82" i="8"/>
  <c r="D62" i="8"/>
  <c r="G83" i="8"/>
  <c r="G63" i="8"/>
  <c r="D84" i="8"/>
  <c r="D64" i="8"/>
  <c r="F81" i="8"/>
  <c r="F61" i="8"/>
  <c r="D85" i="8"/>
  <c r="D65" i="8"/>
  <c r="G82" i="8"/>
  <c r="G62" i="8"/>
  <c r="C83" i="8"/>
  <c r="C63" i="8"/>
  <c r="E80" i="8"/>
  <c r="E60" i="8"/>
  <c r="F83" i="8"/>
  <c r="F63" i="8"/>
  <c r="G84" i="8"/>
  <c r="G64" i="8"/>
  <c r="C82" i="8"/>
  <c r="C62" i="8"/>
  <c r="E82" i="8"/>
  <c r="E62" i="8"/>
  <c r="E85" i="8"/>
  <c r="E65" i="8"/>
  <c r="C84" i="8"/>
  <c r="C64" i="8"/>
  <c r="F85" i="8"/>
  <c r="F65" i="8"/>
  <c r="F30" i="8"/>
  <c r="E83" i="8"/>
  <c r="E63" i="8"/>
  <c r="G80" i="8"/>
  <c r="G60" i="8"/>
  <c r="C61" i="8"/>
  <c r="AA8" i="5"/>
  <c r="AA7" i="5"/>
  <c r="K31" i="8" l="1"/>
  <c r="J31" i="5"/>
  <c r="J32" i="5"/>
  <c r="F63" i="5"/>
  <c r="F29" i="8"/>
  <c r="E62" i="5"/>
  <c r="D64" i="5"/>
  <c r="F61" i="5"/>
  <c r="C51" i="5"/>
  <c r="D62" i="5"/>
  <c r="H65" i="5"/>
  <c r="E65" i="5"/>
  <c r="D51" i="5"/>
  <c r="H51" i="5"/>
  <c r="H61" i="5"/>
  <c r="G50" i="5"/>
  <c r="G60" i="5"/>
  <c r="D55" i="5"/>
  <c r="D65" i="5"/>
  <c r="E50" i="5"/>
  <c r="E60" i="5"/>
  <c r="F50" i="5"/>
  <c r="F60" i="5"/>
  <c r="F52" i="5"/>
  <c r="F62" i="5"/>
  <c r="C53" i="5"/>
  <c r="C63" i="5"/>
  <c r="F55" i="5"/>
  <c r="F65" i="5"/>
  <c r="E54" i="5"/>
  <c r="E64" i="5"/>
  <c r="G51" i="5"/>
  <c r="G61" i="5"/>
  <c r="H50" i="5"/>
  <c r="H60" i="5"/>
  <c r="H52" i="5"/>
  <c r="H62" i="5"/>
  <c r="G53" i="5"/>
  <c r="G63" i="5"/>
  <c r="G54" i="5"/>
  <c r="G64" i="5"/>
  <c r="C54" i="5"/>
  <c r="C64" i="5"/>
  <c r="H54" i="5"/>
  <c r="H64" i="5"/>
  <c r="C52" i="5"/>
  <c r="C62" i="5"/>
  <c r="H53" i="5"/>
  <c r="H63" i="5"/>
  <c r="F54" i="5"/>
  <c r="F64" i="5"/>
  <c r="G55" i="5"/>
  <c r="G65" i="5"/>
  <c r="E51" i="5"/>
  <c r="E61" i="5"/>
  <c r="D53" i="5"/>
  <c r="D63" i="5"/>
  <c r="C55" i="5"/>
  <c r="C65" i="5"/>
  <c r="G52" i="5"/>
  <c r="G62" i="5"/>
  <c r="E53" i="5"/>
  <c r="E63" i="5"/>
  <c r="C50" i="5"/>
  <c r="E29" i="5" s="1"/>
  <c r="F51" i="5"/>
  <c r="D50" i="5"/>
  <c r="E52" i="5"/>
  <c r="D52" i="5"/>
  <c r="F53" i="5"/>
  <c r="H55" i="5"/>
  <c r="E31" i="5" s="1"/>
  <c r="E55" i="5"/>
  <c r="D54" i="5"/>
  <c r="D61" i="5"/>
  <c r="C61" i="5"/>
  <c r="D60" i="5"/>
  <c r="C60" i="5"/>
  <c r="E30" i="5" l="1"/>
  <c r="D38" i="1"/>
  <c r="J40" i="1"/>
  <c r="D39" i="1"/>
  <c r="Y11" i="1"/>
  <c r="Y10" i="1"/>
  <c r="F28" i="1" l="1"/>
  <c r="F29" i="1" l="1"/>
</calcChain>
</file>

<file path=xl/sharedStrings.xml><?xml version="1.0" encoding="utf-8"?>
<sst xmlns="http://schemas.openxmlformats.org/spreadsheetml/2006/main" count="1319" uniqueCount="297">
  <si>
    <t>Motor</t>
  </si>
  <si>
    <t>Převodovky</t>
  </si>
  <si>
    <t>Auto (název , specifikace)</t>
  </si>
  <si>
    <t>1.stupeň</t>
  </si>
  <si>
    <t>2.stupeň</t>
  </si>
  <si>
    <t>3.stupeň</t>
  </si>
  <si>
    <t>4.stupeň</t>
  </si>
  <si>
    <t>5.stupeň</t>
  </si>
  <si>
    <t>Z.stupeň</t>
  </si>
  <si>
    <t>GAZ - 69</t>
  </si>
  <si>
    <t>V3S</t>
  </si>
  <si>
    <t>ZIL 131</t>
  </si>
  <si>
    <t>Robur LO 2500</t>
  </si>
  <si>
    <t>M22, M24, M25</t>
  </si>
  <si>
    <t>ŽUK 3kvalt</t>
  </si>
  <si>
    <t>ŽUK 4kvalt</t>
  </si>
  <si>
    <t>ARO řady 10</t>
  </si>
  <si>
    <t>ARO řady 24</t>
  </si>
  <si>
    <t>Renault 1,6D</t>
  </si>
  <si>
    <t>Škoda 120 - 4kvalt</t>
  </si>
  <si>
    <t>Škoda 120 - 5kvalt</t>
  </si>
  <si>
    <t>Tatra 805</t>
  </si>
  <si>
    <t>Ford Scorpio</t>
  </si>
  <si>
    <t>Poběda</t>
  </si>
  <si>
    <t>Jawa 250</t>
  </si>
  <si>
    <t>Vlastní převodovka</t>
  </si>
  <si>
    <t>ot/min</t>
  </si>
  <si>
    <t>1°</t>
  </si>
  <si>
    <t>2°</t>
  </si>
  <si>
    <t>3°</t>
  </si>
  <si>
    <t>4°</t>
  </si>
  <si>
    <t>5°</t>
  </si>
  <si>
    <t>R</t>
  </si>
  <si>
    <t>Bez převodovky</t>
  </si>
  <si>
    <t>Auto (název, specifikace)</t>
  </si>
  <si>
    <t>V3S - bez redukce v kole</t>
  </si>
  <si>
    <t>GAZ - 66</t>
  </si>
  <si>
    <t>ROBUR LO 2500</t>
  </si>
  <si>
    <t>ŽUK</t>
  </si>
  <si>
    <t>ARO M461</t>
  </si>
  <si>
    <t>Škoda Oktávie</t>
  </si>
  <si>
    <t>Ford Scorpio 2.0i</t>
  </si>
  <si>
    <t>Ford Scorpio V6</t>
  </si>
  <si>
    <t>T805 - bez redukce v kole</t>
  </si>
  <si>
    <t xml:space="preserve">T805  </t>
  </si>
  <si>
    <t>M22</t>
  </si>
  <si>
    <t>M24 M25</t>
  </si>
  <si>
    <t>poměr difu:</t>
  </si>
  <si>
    <t>Vlastní převod</t>
  </si>
  <si>
    <t xml:space="preserve">Stálý převod </t>
  </si>
  <si>
    <t>VW Polo 86C/Golf (malá)</t>
  </si>
  <si>
    <t>Škoda 1203 /TAZ</t>
  </si>
  <si>
    <t>Kola</t>
  </si>
  <si>
    <t>Rozměr</t>
  </si>
  <si>
    <t>Obvod</t>
  </si>
  <si>
    <t>5,0/12</t>
  </si>
  <si>
    <t>6,5/15</t>
  </si>
  <si>
    <t>6,0/16</t>
  </si>
  <si>
    <t>6,5/16</t>
  </si>
  <si>
    <t>7,5/16</t>
  </si>
  <si>
    <t>8,25/20</t>
  </si>
  <si>
    <t>10,75/15,3</t>
  </si>
  <si>
    <t>11,2/24</t>
  </si>
  <si>
    <t>otáčky motoru</t>
  </si>
  <si>
    <t>(ot/s)</t>
  </si>
  <si>
    <t>km/h</t>
  </si>
  <si>
    <t>max</t>
  </si>
  <si>
    <t>Zpracoval: Chavier</t>
  </si>
  <si>
    <t>MOTOR</t>
  </si>
  <si>
    <t>Min.ot.</t>
  </si>
  <si>
    <t>Max.ot.</t>
  </si>
  <si>
    <t>Převodovka</t>
  </si>
  <si>
    <t>PŘEVODOVKA</t>
  </si>
  <si>
    <t>DIF. NÁPRAVA</t>
  </si>
  <si>
    <t>ROZMĚR KOLA</t>
  </si>
  <si>
    <t>Minimální rychlost:</t>
  </si>
  <si>
    <t>Maximální rychlost:</t>
  </si>
  <si>
    <t>i</t>
  </si>
  <si>
    <t>Celkový převod</t>
  </si>
  <si>
    <t>min</t>
  </si>
  <si>
    <t>na MIN ot.</t>
  </si>
  <si>
    <t>na MAX ot.</t>
  </si>
  <si>
    <t>kvalt</t>
  </si>
  <si>
    <t>PŘEVODOVKA 1.</t>
  </si>
  <si>
    <t>PŘEVODOVKA 2.</t>
  </si>
  <si>
    <t>Převodovka 1.</t>
  </si>
  <si>
    <t>Převodovka 2.</t>
  </si>
  <si>
    <t>dif</t>
  </si>
  <si>
    <t>Vlastní převod diferenciálu převodovky</t>
  </si>
  <si>
    <t>Vlastní převod diferenciálu nápravy</t>
  </si>
  <si>
    <t>Vlastní rozměr</t>
  </si>
  <si>
    <t>Vlastní rozměr hnacího kola</t>
  </si>
  <si>
    <t>[m]</t>
  </si>
  <si>
    <t>Škoda Felicia</t>
  </si>
  <si>
    <t>Převodovky první</t>
  </si>
  <si>
    <t>profil</t>
  </si>
  <si>
    <t>šíře</t>
  </si>
  <si>
    <t>disk</t>
  </si>
  <si>
    <t>[mm]</t>
  </si>
  <si>
    <t>[%]</t>
  </si>
  <si>
    <t>[R]</t>
  </si>
  <si>
    <t>Převodové poměry</t>
  </si>
  <si>
    <t>[i]</t>
  </si>
  <si>
    <t>1.převodovka</t>
  </si>
  <si>
    <t>Min. (reverz-reverz):</t>
  </si>
  <si>
    <t>q</t>
  </si>
  <si>
    <t xml:space="preserve">Škoda Favorit </t>
  </si>
  <si>
    <t xml:space="preserve">Renault 1,6D </t>
  </si>
  <si>
    <t xml:space="preserve">VW Polo 86C/Golf </t>
  </si>
  <si>
    <t>Převodovky druhá</t>
  </si>
  <si>
    <t>Vlastní převodovka První</t>
  </si>
  <si>
    <t>Vlastní převodovka Druhá</t>
  </si>
  <si>
    <t>DIF</t>
  </si>
  <si>
    <t>6,5/12</t>
  </si>
  <si>
    <t>obvod</t>
  </si>
  <si>
    <t>PŘEVODOVKA 3.</t>
  </si>
  <si>
    <t>silniční/terenní</t>
  </si>
  <si>
    <t>Převodovky třetí (silnice/terén)</t>
  </si>
  <si>
    <t>terén</t>
  </si>
  <si>
    <t>silnice</t>
  </si>
  <si>
    <t>GAZ 69</t>
  </si>
  <si>
    <t>ARO 10</t>
  </si>
  <si>
    <t>ARO 24</t>
  </si>
  <si>
    <t>Robur</t>
  </si>
  <si>
    <t>Převodovka 3.</t>
  </si>
  <si>
    <t>2.převodovka</t>
  </si>
  <si>
    <t xml:space="preserve">Vlastní převodovka Třetí </t>
  </si>
  <si>
    <t>Redukce</t>
  </si>
  <si>
    <t>Silnice</t>
  </si>
  <si>
    <t>(ot/min)</t>
  </si>
  <si>
    <t>Minimální rychlost při</t>
  </si>
  <si>
    <t>[ot/s]</t>
  </si>
  <si>
    <t>Maximální rychlosti při</t>
  </si>
  <si>
    <t>redukční převod</t>
  </si>
  <si>
    <t>silniční převod</t>
  </si>
  <si>
    <t xml:space="preserve">Převodové poměry </t>
  </si>
  <si>
    <t xml:space="preserve">2.převodovka </t>
  </si>
  <si>
    <t>3.převodovka</t>
  </si>
  <si>
    <t>Minimální rychlosti [km/h] při</t>
  </si>
  <si>
    <t>Maximální rychlosti [km/h] při</t>
  </si>
  <si>
    <t>celkový převod:</t>
  </si>
  <si>
    <t>Výpočet pro 3 převodovky</t>
  </si>
  <si>
    <t>Výpočet pro 2 převodovky</t>
  </si>
  <si>
    <t>Výpočet s 1 převodovkou</t>
  </si>
  <si>
    <t>B) Rychlost na vybraný převod</t>
  </si>
  <si>
    <t>A) Základní údaje o rychlosti</t>
  </si>
  <si>
    <t>C) Podrobný rozpis rychlosti a převodových poměrů</t>
  </si>
  <si>
    <t>D) Zadání vlastních hodnot</t>
  </si>
  <si>
    <t>&lt;- vyber si rychlostní stupeň</t>
  </si>
  <si>
    <t>MIN možná rychlost:</t>
  </si>
  <si>
    <t>MAX možná rychlost:</t>
  </si>
  <si>
    <t>na MIN ot/s:</t>
  </si>
  <si>
    <t>na MAX ot/s:</t>
  </si>
  <si>
    <t>Návod</t>
  </si>
  <si>
    <t>1. Vybrat MIN a MAX otáčky motoru</t>
  </si>
  <si>
    <t xml:space="preserve">2. Vybrat první převodovku </t>
  </si>
  <si>
    <t>3. Vybrat druhou, popř. třetí převodovku</t>
  </si>
  <si>
    <t>4. Vybrat převod hnané nápravy</t>
  </si>
  <si>
    <t>5. Vybrat obvod hnaného kola</t>
  </si>
  <si>
    <t>1. Volba 1. a 2. převodovky</t>
  </si>
  <si>
    <t xml:space="preserve">2. Volba 3. převodovky </t>
  </si>
  <si>
    <t>3. Volba hnacího kola obnáší znát obvod v metrech, či rozměr automobilové pneumatiky</t>
  </si>
  <si>
    <t>veškerý výber se provadí přes světle žlutá políčka</t>
  </si>
  <si>
    <t>Nemá-li převodovka některý stupeň, nebo stálý převod, zapíšeme číslici "1"</t>
  </si>
  <si>
    <t>Obdobně, redukční převod je ten s vyšším číslem</t>
  </si>
  <si>
    <t>Kola přední</t>
  </si>
  <si>
    <t>Kola zadní</t>
  </si>
  <si>
    <t>PŘEDNÍ dif.</t>
  </si>
  <si>
    <t>ZADNÍ dif</t>
  </si>
  <si>
    <t>Přední kolo</t>
  </si>
  <si>
    <t>1:</t>
  </si>
  <si>
    <t>Výsledný poměr:</t>
  </si>
  <si>
    <t>Pozn: Přední kola se dopručuje mít o max. 2,5% rychlejší</t>
  </si>
  <si>
    <t>Výpočet mezi přední a zadní nápravou</t>
  </si>
  <si>
    <t>Mezipřevod</t>
  </si>
  <si>
    <t>Zadní náprava</t>
  </si>
  <si>
    <t>Přední náprava:</t>
  </si>
  <si>
    <t>obvod =&gt;</t>
  </si>
  <si>
    <t>PŘEDEK</t>
  </si>
  <si>
    <t>ZADEK</t>
  </si>
  <si>
    <t>4,0/10</t>
  </si>
  <si>
    <t>5,0/10</t>
  </si>
  <si>
    <t>12,4/24</t>
  </si>
  <si>
    <t>Avia 31 uzavierka</t>
  </si>
  <si>
    <t>AVIA A 15</t>
  </si>
  <si>
    <t>AVIA A 21T</t>
  </si>
  <si>
    <t>AVIA A 30</t>
  </si>
  <si>
    <t>Garant</t>
  </si>
  <si>
    <t>IFA W 50</t>
  </si>
  <si>
    <t>IFA W50L</t>
  </si>
  <si>
    <t>IFA W50L/K</t>
  </si>
  <si>
    <t>IFA W50LA/Z</t>
  </si>
  <si>
    <t>Rumun U651</t>
  </si>
  <si>
    <t>Suzuki SJ 413</t>
  </si>
  <si>
    <t>VAZ 1201</t>
  </si>
  <si>
    <t>VAZ 2101</t>
  </si>
  <si>
    <t>VAZ 2105</t>
  </si>
  <si>
    <t>AVIA A 30 rychlá</t>
  </si>
  <si>
    <t>Škoda 100MB</t>
  </si>
  <si>
    <t>Lada Niva</t>
  </si>
  <si>
    <t>Mercedes W123</t>
  </si>
  <si>
    <t>Suzuki SJ 410 SJ50</t>
  </si>
  <si>
    <t xml:space="preserve">Suzuki SJ 410 </t>
  </si>
  <si>
    <t>Volha 21</t>
  </si>
  <si>
    <t>Přední DIF</t>
  </si>
  <si>
    <t>Zadní DIF</t>
  </si>
  <si>
    <t xml:space="preserve">Avia 4q  </t>
  </si>
  <si>
    <t xml:space="preserve">Avia 5q </t>
  </si>
  <si>
    <t>Avia 5q hliník</t>
  </si>
  <si>
    <t>ČZ 175</t>
  </si>
  <si>
    <t>Erena</t>
  </si>
  <si>
    <t>Fiat 126</t>
  </si>
  <si>
    <t xml:space="preserve">Ford Sierra 2,3D </t>
  </si>
  <si>
    <t>IFA W50</t>
  </si>
  <si>
    <t>Mercedes L319</t>
  </si>
  <si>
    <t>Mercedes L406</t>
  </si>
  <si>
    <t>Mercedes W207</t>
  </si>
  <si>
    <t>Multicar 22</t>
  </si>
  <si>
    <t>PRAGA 5PS34</t>
  </si>
  <si>
    <t>PRAGA 6PS50</t>
  </si>
  <si>
    <t>Praga A150</t>
  </si>
  <si>
    <t>Praga RND</t>
  </si>
  <si>
    <t>Range Rover</t>
  </si>
  <si>
    <t>Škoda 1203/Oktávia</t>
  </si>
  <si>
    <t>Tatra 111R</t>
  </si>
  <si>
    <t>UAZ</t>
  </si>
  <si>
    <t>VAZ 5-kvalt</t>
  </si>
  <si>
    <t>Volga 21</t>
  </si>
  <si>
    <t>Volga 24</t>
  </si>
  <si>
    <t xml:space="preserve">Lada Niva </t>
  </si>
  <si>
    <t>Suzuki SJ 410</t>
  </si>
  <si>
    <t xml:space="preserve">UAZ </t>
  </si>
  <si>
    <t>Zil 157</t>
  </si>
  <si>
    <t>Převodové poměry, nebo nalezené chyby prosím pište na email: chavier@inmail.cz</t>
  </si>
  <si>
    <t>mailto:chavier@inmail.cz?subject=Převodové poměry</t>
  </si>
  <si>
    <t>Pro aktivaci vlastních údajů je nutné dle prvního budu zvolit "Vlastní převodovka" / "Vlastní převod" !</t>
  </si>
  <si>
    <t>Vyberte si typ výpočtu:</t>
  </si>
  <si>
    <t>Zadní kolo</t>
  </si>
  <si>
    <t>10,0/20</t>
  </si>
  <si>
    <t>12,0/18</t>
  </si>
  <si>
    <t>14,9/24</t>
  </si>
  <si>
    <t>11,2/28</t>
  </si>
  <si>
    <t>12,4/28</t>
  </si>
  <si>
    <t>14,9/28</t>
  </si>
  <si>
    <t>DIF:</t>
  </si>
  <si>
    <t xml:space="preserve">Auto </t>
  </si>
  <si>
    <t>NEMÁ</t>
  </si>
  <si>
    <t xml:space="preserve">Vlastní </t>
  </si>
  <si>
    <t>Š 120M</t>
  </si>
  <si>
    <t>Š 120S</t>
  </si>
  <si>
    <t>Š Favorit dlouhá</t>
  </si>
  <si>
    <t>Š Favorit krátká</t>
  </si>
  <si>
    <t>Š Felicia 40kW</t>
  </si>
  <si>
    <t>Š Felicia 50kW</t>
  </si>
  <si>
    <t>Š Felicia 55kW</t>
  </si>
  <si>
    <t>Š Felicia 1.9D</t>
  </si>
  <si>
    <t>Stálý převod 1. převodovky</t>
  </si>
  <si>
    <t>Stálý převod 2. převodovky</t>
  </si>
  <si>
    <t>ta může být i dvoustupňová (terenní a silniční převod)</t>
  </si>
  <si>
    <t>10/15,3</t>
  </si>
  <si>
    <t>11,5/15,3</t>
  </si>
  <si>
    <t>4,0/8</t>
  </si>
  <si>
    <t>6,5/14</t>
  </si>
  <si>
    <t>7,5/20</t>
  </si>
  <si>
    <t>Auto</t>
  </si>
  <si>
    <t>Avia 5q (5P20M)</t>
  </si>
  <si>
    <t>Urči počet zubů prvního kola:</t>
  </si>
  <si>
    <t>z</t>
  </si>
  <si>
    <t>E) Výpočet ozubení</t>
  </si>
  <si>
    <t>Š Felicia  55kW</t>
  </si>
  <si>
    <t>Š Felicia  50kW</t>
  </si>
  <si>
    <t>VW Polo/Golf (malá)</t>
  </si>
  <si>
    <t>Mezipřevod?</t>
  </si>
  <si>
    <t>NE</t>
  </si>
  <si>
    <t>1:2</t>
  </si>
  <si>
    <t>1:3</t>
  </si>
  <si>
    <t>1:4</t>
  </si>
  <si>
    <t>jiný</t>
  </si>
  <si>
    <t>Vlastní mezipřevod (řetěz)</t>
  </si>
  <si>
    <t xml:space="preserve"> Autor nenese žádnou zodpovědnost za správnost výsledků a převodových hodnot !</t>
  </si>
  <si>
    <t>Pozn:</t>
  </si>
  <si>
    <t>Nebo počet zubů převodu</t>
  </si>
  <si>
    <t>Pro správný převod potřebuješ druhé kolo :</t>
  </si>
  <si>
    <t>Přední kola budou o:</t>
  </si>
  <si>
    <t>Výpočet převodového poměru mezi přední a zadní nápravou</t>
  </si>
  <si>
    <t>v případě volby převodovky z vozu s předním pohonem,</t>
  </si>
  <si>
    <t xml:space="preserve"> je nutno vybrat i stálý poměr (tj. převod dif.)</t>
  </si>
  <si>
    <t>6. Vybrat mezipřevod, je-li použit</t>
  </si>
  <si>
    <t>(jedná se o kdekoliv umístěný např. řetězový převod)</t>
  </si>
  <si>
    <t>1. Zadání základních parametrů</t>
  </si>
  <si>
    <t xml:space="preserve">2. V tabulce A) se zobrazily základní údaje o MAX a MIN rychlosti </t>
  </si>
  <si>
    <t xml:space="preserve">3. V tabulce B) můžeme kombinovat převody a hned uvidíme výslednou rychlost </t>
  </si>
  <si>
    <t>4. V tabulce C) je podrobný rozpis všech převodů a rychlosti na redukované a silniční rychlosti (varianta 3 převodovek)</t>
  </si>
  <si>
    <t>5. V případě volby "Vlastní převodovka", "Vlastní převod", "Vlastní rozměr kola", "Jiný mezipřevod" můžeme v tab. D) dopsat potřebné parametry</t>
  </si>
  <si>
    <t>Návod - k výpočtu převodových poměrů</t>
  </si>
  <si>
    <t>Poslední aktualizace:</t>
  </si>
  <si>
    <r>
      <t>Určeno pouze pro členy diskuzního fora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Arial Black"/>
        <family val="2"/>
        <charset val="238"/>
      </rPr>
      <t>nasetraktory.cz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</si>
</sst>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3"/>
      <name val="Cambria"/>
      <family val="2"/>
      <charset val="238"/>
      <scheme val="maj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9"/>
      <color theme="1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gradientFill degree="45">
        <stop position="0">
          <color theme="0"/>
        </stop>
        <stop position="1">
          <color rgb="FFFFC000"/>
        </stop>
      </gradientFill>
    </fill>
    <fill>
      <patternFill patternType="solid">
        <fgColor theme="9" tint="0.59999389629810485"/>
        <bgColor indexed="65"/>
      </patternFill>
    </fill>
    <fill>
      <patternFill patternType="solid">
        <fgColor rgb="FFEAEAEA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dotted">
        <color auto="1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/>
      <top style="thin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auto="1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8">
    <xf numFmtId="0" fontId="0" fillId="0" borderId="0"/>
    <xf numFmtId="0" fontId="5" fillId="3" borderId="9" applyNumberFormat="0" applyFont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29" applyNumberFormat="0" applyFill="0" applyAlignment="0" applyProtection="0"/>
    <xf numFmtId="0" fontId="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</cellStyleXfs>
  <cellXfs count="29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0" fontId="0" fillId="3" borderId="9" xfId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3" borderId="9" xfId="1" applyFont="1" applyAlignment="1">
      <alignment horizontal="right"/>
    </xf>
    <xf numFmtId="0" fontId="0" fillId="3" borderId="9" xfId="1" applyFont="1" applyAlignment="1">
      <alignment horizontal="center"/>
    </xf>
    <xf numFmtId="0" fontId="0" fillId="0" borderId="15" xfId="0" applyBorder="1"/>
    <xf numFmtId="0" fontId="0" fillId="3" borderId="9" xfId="1" applyFont="1" applyAlignment="1">
      <alignment horizontal="center"/>
    </xf>
    <xf numFmtId="0" fontId="1" fillId="0" borderId="0" xfId="0" applyFont="1" applyBorder="1" applyAlignment="1"/>
    <xf numFmtId="2" fontId="0" fillId="0" borderId="0" xfId="0" applyNumberFormat="1"/>
    <xf numFmtId="0" fontId="1" fillId="0" borderId="18" xfId="0" applyFont="1" applyBorder="1" applyAlignment="1">
      <alignment horizontal="center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8" xfId="0" applyFont="1" applyFill="1" applyBorder="1" applyAlignment="1"/>
    <xf numFmtId="0" fontId="0" fillId="3" borderId="9" xfId="1" applyFont="1"/>
    <xf numFmtId="0" fontId="0" fillId="0" borderId="21" xfId="0" applyBorder="1" applyAlignment="1">
      <alignment horizontal="center"/>
    </xf>
    <xf numFmtId="0" fontId="0" fillId="3" borderId="22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9" xfId="1" applyFont="1" applyBorder="1" applyAlignment="1">
      <alignment horizontal="center"/>
    </xf>
    <xf numFmtId="0" fontId="1" fillId="0" borderId="18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0" fillId="3" borderId="9" xfId="1" applyNumberFormat="1" applyFont="1" applyAlignment="1">
      <alignment horizontal="center"/>
    </xf>
    <xf numFmtId="0" fontId="0" fillId="0" borderId="27" xfId="0" applyBorder="1"/>
    <xf numFmtId="0" fontId="2" fillId="0" borderId="27" xfId="0" applyFont="1" applyFill="1" applyBorder="1"/>
    <xf numFmtId="2" fontId="0" fillId="0" borderId="27" xfId="0" applyNumberFormat="1" applyBorder="1"/>
    <xf numFmtId="0" fontId="1" fillId="0" borderId="15" xfId="0" applyFont="1" applyBorder="1" applyAlignment="1">
      <alignment horizontal="right"/>
    </xf>
    <xf numFmtId="0" fontId="6" fillId="0" borderId="0" xfId="0" applyFont="1" applyBorder="1" applyAlignment="1"/>
    <xf numFmtId="2" fontId="0" fillId="0" borderId="0" xfId="0" applyNumberFormat="1" applyAlignment="1">
      <alignment horizontal="center"/>
    </xf>
    <xf numFmtId="0" fontId="0" fillId="0" borderId="17" xfId="0" applyBorder="1" applyAlignment="1">
      <alignment horizontal="right"/>
    </xf>
    <xf numFmtId="0" fontId="0" fillId="0" borderId="28" xfId="0" applyBorder="1"/>
    <xf numFmtId="0" fontId="4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7" fillId="0" borderId="0" xfId="0" applyFont="1" applyAlignment="1">
      <alignment horizontal="left" indent="1"/>
    </xf>
    <xf numFmtId="0" fontId="0" fillId="0" borderId="15" xfId="0" applyFill="1" applyBorder="1" applyAlignment="1">
      <alignment horizontal="center"/>
    </xf>
    <xf numFmtId="0" fontId="8" fillId="0" borderId="0" xfId="0" applyFont="1"/>
    <xf numFmtId="2" fontId="0" fillId="0" borderId="5" xfId="0" applyNumberFormat="1" applyBorder="1"/>
    <xf numFmtId="0" fontId="4" fillId="0" borderId="25" xfId="0" applyFont="1" applyBorder="1" applyAlignment="1">
      <alignment horizontal="center"/>
    </xf>
    <xf numFmtId="0" fontId="0" fillId="3" borderId="9" xfId="1" applyFont="1" applyAlignment="1">
      <alignment horizontal="left" indent="4"/>
    </xf>
    <xf numFmtId="0" fontId="7" fillId="0" borderId="0" xfId="0" applyFont="1" applyAlignment="1"/>
    <xf numFmtId="0" fontId="1" fillId="0" borderId="10" xfId="0" applyFont="1" applyBorder="1" applyAlignment="1"/>
    <xf numFmtId="0" fontId="1" fillId="0" borderId="30" xfId="0" applyFont="1" applyBorder="1" applyAlignment="1"/>
    <xf numFmtId="0" fontId="1" fillId="0" borderId="27" xfId="0" applyFont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7" xfId="0" applyNumberFormat="1" applyBorder="1" applyAlignment="1">
      <alignment horizontal="left"/>
    </xf>
    <xf numFmtId="0" fontId="1" fillId="0" borderId="7" xfId="0" applyFont="1" applyBorder="1" applyAlignment="1"/>
    <xf numFmtId="0" fontId="6" fillId="0" borderId="0" xfId="0" applyFont="1"/>
    <xf numFmtId="0" fontId="6" fillId="0" borderId="7" xfId="0" applyFont="1" applyBorder="1" applyAlignment="1"/>
    <xf numFmtId="164" fontId="8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5" fillId="5" borderId="0" xfId="2" applyFill="1"/>
    <xf numFmtId="0" fontId="0" fillId="0" borderId="30" xfId="0" applyBorder="1"/>
    <xf numFmtId="0" fontId="0" fillId="3" borderId="31" xfId="1" applyFont="1" applyBorder="1" applyAlignment="1">
      <alignment horizontal="center"/>
    </xf>
    <xf numFmtId="0" fontId="0" fillId="0" borderId="33" xfId="0" applyBorder="1"/>
    <xf numFmtId="0" fontId="0" fillId="0" borderId="32" xfId="0" applyBorder="1"/>
    <xf numFmtId="0" fontId="6" fillId="0" borderId="0" xfId="0" applyFont="1" applyBorder="1" applyAlignment="1">
      <alignment horizontal="right" vertical="center" textRotation="90"/>
    </xf>
    <xf numFmtId="0" fontId="0" fillId="0" borderId="0" xfId="0" applyAlignment="1">
      <alignment horizontal="right" vertical="center" textRotation="90"/>
    </xf>
    <xf numFmtId="0" fontId="10" fillId="0" borderId="0" xfId="3"/>
    <xf numFmtId="0" fontId="11" fillId="0" borderId="29" xfId="4"/>
    <xf numFmtId="0" fontId="9" fillId="0" borderId="0" xfId="0" applyFont="1" applyAlignment="1">
      <alignment horizontal="right" vertical="center" textRotation="90"/>
    </xf>
    <xf numFmtId="165" fontId="6" fillId="5" borderId="0" xfId="2" applyNumberFormat="1" applyFont="1" applyFill="1"/>
    <xf numFmtId="0" fontId="0" fillId="0" borderId="34" xfId="0" applyBorder="1"/>
    <xf numFmtId="0" fontId="0" fillId="0" borderId="35" xfId="0" applyBorder="1"/>
    <xf numFmtId="0" fontId="0" fillId="5" borderId="0" xfId="0" applyFont="1" applyFill="1" applyAlignment="1">
      <alignment horizontal="right"/>
    </xf>
    <xf numFmtId="2" fontId="6" fillId="5" borderId="0" xfId="0" applyNumberFormat="1" applyFont="1" applyFill="1" applyBorder="1" applyAlignment="1">
      <alignment horizontal="right" vertical="top"/>
    </xf>
    <xf numFmtId="2" fontId="12" fillId="5" borderId="0" xfId="0" applyNumberFormat="1" applyFont="1" applyFill="1" applyAlignment="1"/>
    <xf numFmtId="0" fontId="8" fillId="5" borderId="0" xfId="2" applyFont="1" applyFill="1"/>
    <xf numFmtId="165" fontId="8" fillId="5" borderId="0" xfId="2" applyNumberFormat="1" applyFont="1" applyFill="1"/>
    <xf numFmtId="0" fontId="0" fillId="0" borderId="36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0" fillId="0" borderId="18" xfId="0" applyFont="1" applyBorder="1" applyAlignment="1">
      <alignment horizontal="left"/>
    </xf>
    <xf numFmtId="0" fontId="0" fillId="5" borderId="0" xfId="2" applyFont="1" applyFill="1"/>
    <xf numFmtId="0" fontId="13" fillId="0" borderId="0" xfId="3" applyFont="1"/>
    <xf numFmtId="0" fontId="11" fillId="0" borderId="37" xfId="4" applyBorder="1"/>
    <xf numFmtId="0" fontId="10" fillId="0" borderId="0" xfId="3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3" borderId="9" xfId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4" fillId="0" borderId="0" xfId="0" applyFont="1"/>
    <xf numFmtId="0" fontId="6" fillId="0" borderId="27" xfId="0" applyFont="1" applyBorder="1"/>
    <xf numFmtId="49" fontId="0" fillId="0" borderId="0" xfId="0" applyNumberFormat="1"/>
    <xf numFmtId="49" fontId="2" fillId="0" borderId="4" xfId="0" applyNumberFormat="1" applyFont="1" applyBorder="1"/>
    <xf numFmtId="0" fontId="15" fillId="0" borderId="4" xfId="0" applyFont="1" applyBorder="1"/>
    <xf numFmtId="2" fontId="15" fillId="0" borderId="5" xfId="0" applyNumberFormat="1" applyFont="1" applyBorder="1"/>
    <xf numFmtId="49" fontId="15" fillId="0" borderId="4" xfId="0" applyNumberFormat="1" applyFont="1" applyBorder="1"/>
    <xf numFmtId="49" fontId="15" fillId="0" borderId="4" xfId="0" applyNumberFormat="1" applyFont="1" applyFill="1" applyBorder="1"/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4" xfId="0" applyFont="1" applyBorder="1" applyAlignment="1">
      <alignment vertical="center" wrapText="1"/>
    </xf>
    <xf numFmtId="0" fontId="16" fillId="0" borderId="4" xfId="0" applyFont="1" applyBorder="1"/>
    <xf numFmtId="0" fontId="16" fillId="0" borderId="5" xfId="0" applyFont="1" applyBorder="1"/>
    <xf numFmtId="0" fontId="16" fillId="0" borderId="5" xfId="0" applyFont="1" applyFill="1" applyBorder="1"/>
    <xf numFmtId="0" fontId="16" fillId="0" borderId="23" xfId="0" applyFont="1" applyBorder="1"/>
    <xf numFmtId="0" fontId="16" fillId="0" borderId="25" xfId="0" applyFont="1" applyFill="1" applyBorder="1"/>
    <xf numFmtId="0" fontId="16" fillId="0" borderId="6" xfId="0" applyFont="1" applyBorder="1"/>
    <xf numFmtId="0" fontId="16" fillId="0" borderId="5" xfId="0" applyNumberFormat="1" applyFont="1" applyBorder="1"/>
    <xf numFmtId="0" fontId="16" fillId="0" borderId="5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 vertical="center" wrapText="1"/>
    </xf>
    <xf numFmtId="0" fontId="16" fillId="0" borderId="5" xfId="0" applyNumberFormat="1" applyFont="1" applyFill="1" applyBorder="1"/>
    <xf numFmtId="0" fontId="16" fillId="0" borderId="8" xfId="0" applyNumberFormat="1" applyFont="1" applyBorder="1"/>
    <xf numFmtId="0" fontId="0" fillId="0" borderId="5" xfId="0" applyNumberFormat="1" applyBorder="1"/>
    <xf numFmtId="0" fontId="16" fillId="0" borderId="0" xfId="0" applyFont="1" applyFill="1" applyBorder="1"/>
    <xf numFmtId="0" fontId="16" fillId="0" borderId="0" xfId="0" applyFont="1" applyBorder="1"/>
    <xf numFmtId="0" fontId="0" fillId="0" borderId="0" xfId="0" applyFont="1" applyBorder="1"/>
    <xf numFmtId="0" fontId="19" fillId="0" borderId="0" xfId="0" applyFont="1" applyBorder="1"/>
    <xf numFmtId="0" fontId="0" fillId="0" borderId="4" xfId="0" applyFont="1" applyBorder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vertical="center" wrapText="1"/>
    </xf>
    <xf numFmtId="0" fontId="0" fillId="0" borderId="5" xfId="0" applyNumberFormat="1" applyFont="1" applyBorder="1"/>
    <xf numFmtId="0" fontId="16" fillId="0" borderId="4" xfId="0" applyFont="1" applyFill="1" applyBorder="1"/>
    <xf numFmtId="0" fontId="0" fillId="0" borderId="5" xfId="0" applyFont="1" applyBorder="1"/>
    <xf numFmtId="0" fontId="16" fillId="0" borderId="7" xfId="0" applyFont="1" applyBorder="1"/>
    <xf numFmtId="0" fontId="16" fillId="0" borderId="7" xfId="0" applyFont="1" applyFill="1" applyBorder="1"/>
    <xf numFmtId="0" fontId="16" fillId="0" borderId="8" xfId="0" applyFont="1" applyBorder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0" fillId="0" borderId="8" xfId="0" applyFont="1" applyBorder="1"/>
    <xf numFmtId="0" fontId="0" fillId="0" borderId="5" xfId="0" applyFont="1" applyBorder="1" applyAlignment="1">
      <alignment horizontal="right" vertical="center" wrapText="1"/>
    </xf>
    <xf numFmtId="0" fontId="19" fillId="0" borderId="5" xfId="0" applyFont="1" applyBorder="1"/>
    <xf numFmtId="0" fontId="0" fillId="0" borderId="6" xfId="0" applyFont="1" applyBorder="1" applyAlignment="1">
      <alignment vertical="center" wrapText="1"/>
    </xf>
    <xf numFmtId="0" fontId="0" fillId="0" borderId="7" xfId="0" applyBorder="1"/>
    <xf numFmtId="0" fontId="20" fillId="0" borderId="0" xfId="0" applyFont="1"/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9" xfId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3" borderId="9" xfId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16" fillId="0" borderId="8" xfId="0" applyFont="1" applyFill="1" applyBorder="1"/>
    <xf numFmtId="0" fontId="16" fillId="0" borderId="39" xfId="0" applyFont="1" applyBorder="1"/>
    <xf numFmtId="0" fontId="16" fillId="0" borderId="18" xfId="0" applyFont="1" applyBorder="1"/>
    <xf numFmtId="0" fontId="16" fillId="0" borderId="18" xfId="0" applyFont="1" applyFill="1" applyBorder="1"/>
    <xf numFmtId="0" fontId="0" fillId="0" borderId="40" xfId="0" applyFont="1" applyBorder="1"/>
    <xf numFmtId="0" fontId="23" fillId="0" borderId="16" xfId="0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3" fillId="0" borderId="26" xfId="0" applyNumberFormat="1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164" fontId="23" fillId="0" borderId="0" xfId="0" applyNumberFormat="1" applyFont="1"/>
    <xf numFmtId="164" fontId="23" fillId="0" borderId="16" xfId="0" applyNumberFormat="1" applyFont="1" applyBorder="1"/>
    <xf numFmtId="0" fontId="23" fillId="0" borderId="0" xfId="0" applyFont="1"/>
    <xf numFmtId="0" fontId="23" fillId="0" borderId="16" xfId="0" applyFont="1" applyBorder="1"/>
    <xf numFmtId="2" fontId="6" fillId="5" borderId="0" xfId="2" applyNumberFormat="1" applyFont="1" applyFill="1"/>
    <xf numFmtId="164" fontId="0" fillId="0" borderId="14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right" indent="4"/>
    </xf>
    <xf numFmtId="2" fontId="0" fillId="0" borderId="0" xfId="0" applyNumberFormat="1" applyAlignment="1">
      <alignment horizontal="right" indent="1"/>
    </xf>
    <xf numFmtId="2" fontId="0" fillId="0" borderId="14" xfId="0" applyNumberFormat="1" applyBorder="1" applyAlignment="1">
      <alignment horizontal="right" indent="1"/>
    </xf>
    <xf numFmtId="0" fontId="23" fillId="0" borderId="16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0" fontId="23" fillId="0" borderId="0" xfId="0" applyFont="1" applyBorder="1"/>
    <xf numFmtId="49" fontId="2" fillId="0" borderId="4" xfId="0" applyNumberFormat="1" applyFont="1" applyFill="1" applyBorder="1"/>
    <xf numFmtId="164" fontId="15" fillId="0" borderId="5" xfId="0" applyNumberFormat="1" applyFont="1" applyBorder="1"/>
    <xf numFmtId="164" fontId="2" fillId="0" borderId="5" xfId="0" applyNumberFormat="1" applyFont="1" applyBorder="1"/>
    <xf numFmtId="164" fontId="2" fillId="0" borderId="5" xfId="0" applyNumberFormat="1" applyFont="1" applyFill="1" applyBorder="1"/>
    <xf numFmtId="49" fontId="2" fillId="0" borderId="6" xfId="0" applyNumberFormat="1" applyFont="1" applyFill="1" applyBorder="1"/>
    <xf numFmtId="164" fontId="0" fillId="0" borderId="8" xfId="0" applyNumberFormat="1" applyBorder="1"/>
    <xf numFmtId="0" fontId="8" fillId="3" borderId="9" xfId="1" applyFont="1" applyAlignme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" borderId="9" xfId="1" applyFont="1"/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/>
    <xf numFmtId="0" fontId="0" fillId="5" borderId="0" xfId="0" applyFill="1" applyBorder="1"/>
    <xf numFmtId="0" fontId="0" fillId="5" borderId="0" xfId="0" applyFill="1" applyBorder="1" applyAlignment="1"/>
    <xf numFmtId="2" fontId="0" fillId="5" borderId="33" xfId="0" applyNumberFormat="1" applyFill="1" applyBorder="1" applyAlignment="1"/>
    <xf numFmtId="49" fontId="0" fillId="0" borderId="4" xfId="0" applyNumberFormat="1" applyBorder="1"/>
    <xf numFmtId="0" fontId="0" fillId="0" borderId="0" xfId="0" applyAlignment="1"/>
    <xf numFmtId="49" fontId="0" fillId="0" borderId="0" xfId="0" applyNumberFormat="1" applyAlignment="1">
      <alignment horizontal="right"/>
    </xf>
    <xf numFmtId="2" fontId="0" fillId="0" borderId="0" xfId="0" applyNumberFormat="1" applyBorder="1"/>
    <xf numFmtId="1" fontId="0" fillId="0" borderId="5" xfId="0" applyNumberFormat="1" applyBorder="1"/>
    <xf numFmtId="0" fontId="24" fillId="0" borderId="16" xfId="0" applyFont="1" applyBorder="1"/>
    <xf numFmtId="0" fontId="25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24" fillId="0" borderId="45" xfId="0" applyFont="1" applyBorder="1"/>
    <xf numFmtId="0" fontId="24" fillId="0" borderId="0" xfId="0" applyFont="1"/>
    <xf numFmtId="2" fontId="0" fillId="5" borderId="0" xfId="0" applyNumberFormat="1" applyFill="1" applyBorder="1" applyAlignment="1"/>
    <xf numFmtId="164" fontId="0" fillId="3" borderId="9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3" borderId="9" xfId="1" applyFont="1" applyAlignment="1">
      <alignment horizontal="center"/>
    </xf>
    <xf numFmtId="2" fontId="0" fillId="0" borderId="0" xfId="0" applyNumberFormat="1" applyAlignment="1">
      <alignment horizontal="left" indent="7"/>
    </xf>
    <xf numFmtId="0" fontId="0" fillId="0" borderId="47" xfId="0" applyFont="1" applyBorder="1" applyAlignment="1">
      <alignment vertical="center" wrapText="1"/>
    </xf>
    <xf numFmtId="0" fontId="0" fillId="0" borderId="48" xfId="0" applyNumberFormat="1" applyBorder="1"/>
    <xf numFmtId="0" fontId="7" fillId="0" borderId="0" xfId="0" applyFont="1"/>
    <xf numFmtId="49" fontId="6" fillId="8" borderId="0" xfId="0" applyNumberFormat="1" applyFont="1" applyFill="1" applyAlignment="1">
      <alignment horizontal="right"/>
    </xf>
    <xf numFmtId="166" fontId="17" fillId="8" borderId="0" xfId="0" applyNumberFormat="1" applyFont="1" applyFill="1" applyAlignment="1"/>
    <xf numFmtId="0" fontId="1" fillId="8" borderId="0" xfId="0" applyFont="1" applyFill="1" applyAlignment="1">
      <alignment horizontal="left"/>
    </xf>
    <xf numFmtId="2" fontId="6" fillId="8" borderId="0" xfId="0" applyNumberFormat="1" applyFont="1" applyFill="1" applyAlignment="1">
      <alignment horizontal="left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6" xfId="0" applyNumberFormat="1" applyBorder="1"/>
    <xf numFmtId="2" fontId="0" fillId="0" borderId="8" xfId="0" applyNumberFormat="1" applyBorder="1"/>
    <xf numFmtId="0" fontId="23" fillId="0" borderId="16" xfId="0" applyFont="1" applyBorder="1" applyAlignment="1">
      <alignment horizontal="right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/>
    <xf numFmtId="0" fontId="22" fillId="0" borderId="45" xfId="0" applyFont="1" applyBorder="1"/>
    <xf numFmtId="0" fontId="18" fillId="0" borderId="0" xfId="6" applyAlignment="1">
      <alignment horizontal="left"/>
    </xf>
    <xf numFmtId="0" fontId="21" fillId="0" borderId="38" xfId="7" applyAlignment="1">
      <alignment horizontal="center"/>
    </xf>
    <xf numFmtId="0" fontId="10" fillId="0" borderId="0" xfId="3" applyAlignment="1">
      <alignment horizontal="left"/>
    </xf>
    <xf numFmtId="0" fontId="10" fillId="0" borderId="0" xfId="3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3" borderId="11" xfId="1" applyFont="1" applyBorder="1" applyAlignment="1">
      <alignment horizontal="center"/>
    </xf>
    <xf numFmtId="0" fontId="0" fillId="3" borderId="44" xfId="1" applyFont="1" applyBorder="1" applyAlignment="1">
      <alignment horizontal="center"/>
    </xf>
    <xf numFmtId="0" fontId="0" fillId="3" borderId="20" xfId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3" borderId="9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42" xfId="1" applyFont="1" applyBorder="1" applyAlignment="1">
      <alignment horizontal="center"/>
    </xf>
    <xf numFmtId="0" fontId="0" fillId="3" borderId="43" xfId="1" applyFont="1" applyBorder="1" applyAlignment="1">
      <alignment horizontal="center"/>
    </xf>
    <xf numFmtId="0" fontId="9" fillId="0" borderId="0" xfId="0" applyFont="1" applyAlignment="1">
      <alignment horizontal="right" vertical="center" textRotation="90" wrapText="1"/>
    </xf>
    <xf numFmtId="0" fontId="0" fillId="5" borderId="0" xfId="0" applyFont="1" applyFill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9" fillId="0" borderId="0" xfId="0" applyFont="1" applyAlignment="1">
      <alignment horizontal="right" vertical="center" textRotation="90"/>
    </xf>
    <xf numFmtId="0" fontId="17" fillId="8" borderId="0" xfId="5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8" fillId="0" borderId="27" xfId="0" applyFont="1" applyBorder="1"/>
    <xf numFmtId="0" fontId="1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 indent="1"/>
    </xf>
    <xf numFmtId="0" fontId="7" fillId="0" borderId="27" xfId="0" applyFont="1" applyBorder="1" applyAlignment="1"/>
    <xf numFmtId="0" fontId="1" fillId="0" borderId="27" xfId="0" applyFont="1" applyBorder="1"/>
    <xf numFmtId="0" fontId="26" fillId="0" borderId="19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6" fillId="0" borderId="45" xfId="0" applyFont="1" applyBorder="1"/>
    <xf numFmtId="14" fontId="0" fillId="0" borderId="0" xfId="0" applyNumberFormat="1"/>
    <xf numFmtId="0" fontId="10" fillId="0" borderId="0" xfId="3" applyAlignment="1">
      <alignment horizontal="left" indent="1"/>
    </xf>
    <xf numFmtId="0" fontId="0" fillId="0" borderId="0" xfId="0" applyFont="1"/>
  </cellXfs>
  <cellStyles count="8">
    <cellStyle name="40 % – Zvýraznění3" xfId="2" builtinId="39"/>
    <cellStyle name="40 % – Zvýraznění6" xfId="5" builtinId="51"/>
    <cellStyle name="Hypertextový odkaz" xfId="6" builtinId="8"/>
    <cellStyle name="Nadpis 2" xfId="7" builtinId="17"/>
    <cellStyle name="Nadpis 3" xfId="4" builtinId="18"/>
    <cellStyle name="Název" xfId="3" builtinId="15"/>
    <cellStyle name="Normální" xfId="0" builtinId="0"/>
    <cellStyle name="Poznámka" xfId="1" builtinId="10"/>
  </cellStyles>
  <dxfs count="0"/>
  <tableStyles count="0" defaultTableStyle="TableStyleMedium2" defaultPivotStyle="PivotStyleLight16"/>
  <colors>
    <mruColors>
      <color rgb="FFEAEAEA"/>
      <color rgb="FFFFE07D"/>
      <color rgb="FFC2DBDE"/>
      <color rgb="FFFD6B80"/>
      <color rgb="FFF9FDC3"/>
      <color rgb="FFE5EDD3"/>
      <color rgb="FFF1F5E7"/>
      <color rgb="FFC7F1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Graf poměru rychlosti:</a:t>
            </a:r>
          </a:p>
        </c:rich>
      </c:tx>
      <c:layout>
        <c:manualLayout>
          <c:xMode val="edge"/>
          <c:yMode val="edge"/>
          <c:x val="0.30809792843691147"/>
          <c:y val="9.52380952380952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263653483992465E-2"/>
          <c:y val="0.21921682608465889"/>
          <c:w val="0.91713747645951038"/>
          <c:h val="0.7531691038620173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'Poměr mezi nápravami'!$F$22:$F$23</c:f>
              <c:strCache>
                <c:ptCount val="2"/>
                <c:pt idx="0">
                  <c:v>ZADEK</c:v>
                </c:pt>
                <c:pt idx="1">
                  <c:v>PŘEDEK</c:v>
                </c:pt>
              </c:strCache>
            </c:strRef>
          </c:cat>
          <c:val>
            <c:numRef>
              <c:f>'Poměr mezi nápravami'!$G$22:$G$23</c:f>
              <c:numCache>
                <c:formatCode>0.000</c:formatCode>
                <c:ptCount val="2"/>
                <c:pt idx="0" formatCode="0.00">
                  <c:v>1</c:v>
                </c:pt>
                <c:pt idx="1">
                  <c:v>1.0112434951456311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8455808"/>
        <c:axId val="108457344"/>
      </c:barChart>
      <c:catAx>
        <c:axId val="1084558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s-CZ"/>
          </a:p>
        </c:txPr>
        <c:crossAx val="108457344"/>
        <c:crossesAt val="1"/>
        <c:auto val="1"/>
        <c:lblAlgn val="ctr"/>
        <c:lblOffset val="100"/>
        <c:noMultiLvlLbl val="0"/>
      </c:catAx>
      <c:valAx>
        <c:axId val="108457344"/>
        <c:scaling>
          <c:orientation val="minMax"/>
          <c:max val="1.5"/>
          <c:min val="0.5"/>
        </c:scaling>
        <c:delete val="1"/>
        <c:axPos val="b"/>
        <c:majorGridlines/>
        <c:numFmt formatCode="0.00" sourceLinked="1"/>
        <c:majorTickMark val="none"/>
        <c:minorTickMark val="none"/>
        <c:tickLblPos val="nextTo"/>
        <c:crossAx val="10845580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7DB99D8-CDA4-4D9F-A71F-C2C7E46BE2DF}" type="doc">
      <dgm:prSet loTypeId="urn:microsoft.com/office/officeart/2005/8/layout/gear1" loCatId="cycle" qsTypeId="urn:microsoft.com/office/officeart/2005/8/quickstyle/3d6" qsCatId="3D" csTypeId="urn:microsoft.com/office/officeart/2005/8/colors/accent1_2" csCatId="accent1" phldr="1"/>
      <dgm:spPr/>
    </dgm:pt>
    <dgm:pt modelId="{4F7B6C70-94A8-4FEA-BA26-C4BE2D97B533}">
      <dgm:prSet phldrT="[Text]"/>
      <dgm:spPr/>
      <dgm:t>
        <a:bodyPr/>
        <a:lstStyle/>
        <a:p>
          <a:r>
            <a:rPr lang="cs-CZ"/>
            <a:t>Určeno k výpočtu rychlostí a převodových poměrů traktorů domací výroby</a:t>
          </a:r>
        </a:p>
      </dgm:t>
    </dgm:pt>
    <dgm:pt modelId="{0D11F11D-1C53-4230-80D5-BD3353F1D6A7}" type="parTrans" cxnId="{B9A9A950-6226-4C38-8239-432469DAEABC}">
      <dgm:prSet/>
      <dgm:spPr/>
      <dgm:t>
        <a:bodyPr/>
        <a:lstStyle/>
        <a:p>
          <a:endParaRPr lang="cs-CZ"/>
        </a:p>
      </dgm:t>
    </dgm:pt>
    <dgm:pt modelId="{0471BD25-A848-43BA-B1FD-11E6EB1665A5}" type="sibTrans" cxnId="{B9A9A950-6226-4C38-8239-432469DAEABC}">
      <dgm:prSet/>
      <dgm:spPr/>
      <dgm:t>
        <a:bodyPr/>
        <a:lstStyle/>
        <a:p>
          <a:endParaRPr lang="cs-CZ"/>
        </a:p>
      </dgm:t>
    </dgm:pt>
    <dgm:pt modelId="{35CF9A39-36C8-4B0E-AA75-D0D9AF589222}">
      <dgm:prSet phldrT="[Text]"/>
      <dgm:spPr/>
      <dgm:t>
        <a:bodyPr/>
        <a:lstStyle/>
        <a:p>
          <a:r>
            <a:rPr lang="cs-CZ"/>
            <a:t>v programu PŘEVODY</a:t>
          </a:r>
        </a:p>
      </dgm:t>
    </dgm:pt>
    <dgm:pt modelId="{1C7B2C62-FC7C-494B-A04B-79829E6B09CA}" type="parTrans" cxnId="{D580EF95-565A-4EA9-812A-1E4CA4546C25}">
      <dgm:prSet/>
      <dgm:spPr/>
      <dgm:t>
        <a:bodyPr/>
        <a:lstStyle/>
        <a:p>
          <a:endParaRPr lang="cs-CZ"/>
        </a:p>
      </dgm:t>
    </dgm:pt>
    <dgm:pt modelId="{A4C4C18B-5C8C-4F54-8575-6DD23FC1379F}" type="sibTrans" cxnId="{D580EF95-565A-4EA9-812A-1E4CA4546C25}">
      <dgm:prSet/>
      <dgm:spPr/>
      <dgm:t>
        <a:bodyPr/>
        <a:lstStyle/>
        <a:p>
          <a:endParaRPr lang="cs-CZ"/>
        </a:p>
      </dgm:t>
    </dgm:pt>
    <dgm:pt modelId="{FC400894-5BEF-4F35-BA7D-8752980B51D5}">
      <dgm:prSet phldrT="[Text]"/>
      <dgm:spPr/>
      <dgm:t>
        <a:bodyPr/>
        <a:lstStyle/>
        <a:p>
          <a:r>
            <a:rPr lang="cs-CZ"/>
            <a:t>Vítejte</a:t>
          </a:r>
        </a:p>
      </dgm:t>
    </dgm:pt>
    <dgm:pt modelId="{3D3FB704-CA1E-4499-A6DF-8EF5392B54AE}" type="parTrans" cxnId="{3CA68BF5-933B-4BE3-B2EE-7E4D1FAD1F6D}">
      <dgm:prSet/>
      <dgm:spPr/>
      <dgm:t>
        <a:bodyPr/>
        <a:lstStyle/>
        <a:p>
          <a:endParaRPr lang="cs-CZ"/>
        </a:p>
      </dgm:t>
    </dgm:pt>
    <dgm:pt modelId="{8973402E-2FA9-4583-919F-B33741A05EF8}" type="sibTrans" cxnId="{3CA68BF5-933B-4BE3-B2EE-7E4D1FAD1F6D}">
      <dgm:prSet/>
      <dgm:spPr/>
      <dgm:t>
        <a:bodyPr/>
        <a:lstStyle/>
        <a:p>
          <a:endParaRPr lang="cs-CZ"/>
        </a:p>
      </dgm:t>
    </dgm:pt>
    <dgm:pt modelId="{B7DC6110-EC44-4DBD-8067-7E29F6C16AB0}" type="pres">
      <dgm:prSet presAssocID="{17DB99D8-CDA4-4D9F-A71F-C2C7E46BE2DF}" presName="composite" presStyleCnt="0">
        <dgm:presLayoutVars>
          <dgm:chMax val="3"/>
          <dgm:animLvl val="lvl"/>
          <dgm:resizeHandles val="exact"/>
        </dgm:presLayoutVars>
      </dgm:prSet>
      <dgm:spPr/>
    </dgm:pt>
    <dgm:pt modelId="{EF752364-C903-4278-8E84-027642232F70}" type="pres">
      <dgm:prSet presAssocID="{4F7B6C70-94A8-4FEA-BA26-C4BE2D97B533}" presName="gear1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6F4BE891-9CAC-493F-BB8A-3F9F53E2CB05}" type="pres">
      <dgm:prSet presAssocID="{4F7B6C70-94A8-4FEA-BA26-C4BE2D97B533}" presName="gear1srcNode" presStyleLbl="node1" presStyleIdx="0" presStyleCnt="3"/>
      <dgm:spPr/>
      <dgm:t>
        <a:bodyPr/>
        <a:lstStyle/>
        <a:p>
          <a:endParaRPr lang="cs-CZ"/>
        </a:p>
      </dgm:t>
    </dgm:pt>
    <dgm:pt modelId="{3DA98CD7-788B-408B-B824-7C4D49AD73DD}" type="pres">
      <dgm:prSet presAssocID="{4F7B6C70-94A8-4FEA-BA26-C4BE2D97B533}" presName="gear1dstNode" presStyleLbl="node1" presStyleIdx="0" presStyleCnt="3"/>
      <dgm:spPr/>
      <dgm:t>
        <a:bodyPr/>
        <a:lstStyle/>
        <a:p>
          <a:endParaRPr lang="cs-CZ"/>
        </a:p>
      </dgm:t>
    </dgm:pt>
    <dgm:pt modelId="{34520645-EAFC-44D7-ACAF-25D9B9932A85}" type="pres">
      <dgm:prSet presAssocID="{35CF9A39-36C8-4B0E-AA75-D0D9AF589222}" presName="gear2" presStyleLbl="node1" presStyleIdx="1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7057C76-71D4-423B-9F24-27CDE4010403}" type="pres">
      <dgm:prSet presAssocID="{35CF9A39-36C8-4B0E-AA75-D0D9AF589222}" presName="gear2srcNode" presStyleLbl="node1" presStyleIdx="1" presStyleCnt="3"/>
      <dgm:spPr/>
      <dgm:t>
        <a:bodyPr/>
        <a:lstStyle/>
        <a:p>
          <a:endParaRPr lang="cs-CZ"/>
        </a:p>
      </dgm:t>
    </dgm:pt>
    <dgm:pt modelId="{1D77E946-AEE5-4706-8FB6-36CB67BAC5E2}" type="pres">
      <dgm:prSet presAssocID="{35CF9A39-36C8-4B0E-AA75-D0D9AF589222}" presName="gear2dstNode" presStyleLbl="node1" presStyleIdx="1" presStyleCnt="3"/>
      <dgm:spPr/>
      <dgm:t>
        <a:bodyPr/>
        <a:lstStyle/>
        <a:p>
          <a:endParaRPr lang="cs-CZ"/>
        </a:p>
      </dgm:t>
    </dgm:pt>
    <dgm:pt modelId="{8E3F6681-50FB-499E-99AF-14B2A4F59E21}" type="pres">
      <dgm:prSet presAssocID="{FC400894-5BEF-4F35-BA7D-8752980B51D5}" presName="gear3" presStyleLbl="node1" presStyleIdx="2" presStyleCnt="3" custLinFactNeighborX="7733" custLinFactNeighborY="-4094"/>
      <dgm:spPr/>
      <dgm:t>
        <a:bodyPr/>
        <a:lstStyle/>
        <a:p>
          <a:endParaRPr lang="cs-CZ"/>
        </a:p>
      </dgm:t>
    </dgm:pt>
    <dgm:pt modelId="{D0B529B5-7ADC-4F62-AD26-3834D6CA8A86}" type="pres">
      <dgm:prSet presAssocID="{FC400894-5BEF-4F35-BA7D-8752980B51D5}" presName="gear3tx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0923ACA-3F5A-4AC3-A7F4-57E8792B26D4}" type="pres">
      <dgm:prSet presAssocID="{FC400894-5BEF-4F35-BA7D-8752980B51D5}" presName="gear3srcNode" presStyleLbl="node1" presStyleIdx="2" presStyleCnt="3"/>
      <dgm:spPr/>
      <dgm:t>
        <a:bodyPr/>
        <a:lstStyle/>
        <a:p>
          <a:endParaRPr lang="cs-CZ"/>
        </a:p>
      </dgm:t>
    </dgm:pt>
    <dgm:pt modelId="{87ADB2F3-E8CF-467F-937E-E781B0EFADE7}" type="pres">
      <dgm:prSet presAssocID="{FC400894-5BEF-4F35-BA7D-8752980B51D5}" presName="gear3dstNode" presStyleLbl="node1" presStyleIdx="2" presStyleCnt="3"/>
      <dgm:spPr/>
      <dgm:t>
        <a:bodyPr/>
        <a:lstStyle/>
        <a:p>
          <a:endParaRPr lang="cs-CZ"/>
        </a:p>
      </dgm:t>
    </dgm:pt>
    <dgm:pt modelId="{061B9A08-FD1B-4661-BB59-07E7103B6223}" type="pres">
      <dgm:prSet presAssocID="{0471BD25-A848-43BA-B1FD-11E6EB1665A5}" presName="connector1" presStyleLbl="sibTrans2D1" presStyleIdx="0" presStyleCnt="3"/>
      <dgm:spPr/>
      <dgm:t>
        <a:bodyPr/>
        <a:lstStyle/>
        <a:p>
          <a:endParaRPr lang="cs-CZ"/>
        </a:p>
      </dgm:t>
    </dgm:pt>
    <dgm:pt modelId="{DBD038F8-5C95-4B9D-ABA3-299B4AD5A16D}" type="pres">
      <dgm:prSet presAssocID="{A4C4C18B-5C8C-4F54-8575-6DD23FC1379F}" presName="connector2" presStyleLbl="sibTrans2D1" presStyleIdx="1" presStyleCnt="3"/>
      <dgm:spPr/>
      <dgm:t>
        <a:bodyPr/>
        <a:lstStyle/>
        <a:p>
          <a:endParaRPr lang="cs-CZ"/>
        </a:p>
      </dgm:t>
    </dgm:pt>
    <dgm:pt modelId="{924E2F23-345D-4A7B-96B4-E40718ADF44A}" type="pres">
      <dgm:prSet presAssocID="{8973402E-2FA9-4583-919F-B33741A05EF8}" presName="connector3" presStyleLbl="sibTrans2D1" presStyleIdx="2" presStyleCnt="3"/>
      <dgm:spPr/>
      <dgm:t>
        <a:bodyPr/>
        <a:lstStyle/>
        <a:p>
          <a:endParaRPr lang="cs-CZ"/>
        </a:p>
      </dgm:t>
    </dgm:pt>
  </dgm:ptLst>
  <dgm:cxnLst>
    <dgm:cxn modelId="{B246B960-DD52-47DE-909D-9CAAFA0D287F}" type="presOf" srcId="{FC400894-5BEF-4F35-BA7D-8752980B51D5}" destId="{8E3F6681-50FB-499E-99AF-14B2A4F59E21}" srcOrd="0" destOrd="0" presId="urn:microsoft.com/office/officeart/2005/8/layout/gear1"/>
    <dgm:cxn modelId="{CB49FA49-5827-4DB8-A609-496136D15339}" type="presOf" srcId="{17DB99D8-CDA4-4D9F-A71F-C2C7E46BE2DF}" destId="{B7DC6110-EC44-4DBD-8067-7E29F6C16AB0}" srcOrd="0" destOrd="0" presId="urn:microsoft.com/office/officeart/2005/8/layout/gear1"/>
    <dgm:cxn modelId="{A51F7260-8731-46E0-8A31-DACDF5BF3A43}" type="presOf" srcId="{FC400894-5BEF-4F35-BA7D-8752980B51D5}" destId="{70923ACA-3F5A-4AC3-A7F4-57E8792B26D4}" srcOrd="2" destOrd="0" presId="urn:microsoft.com/office/officeart/2005/8/layout/gear1"/>
    <dgm:cxn modelId="{E4462449-287D-4E99-BC2F-6EDA14F151AE}" type="presOf" srcId="{8973402E-2FA9-4583-919F-B33741A05EF8}" destId="{924E2F23-345D-4A7B-96B4-E40718ADF44A}" srcOrd="0" destOrd="0" presId="urn:microsoft.com/office/officeart/2005/8/layout/gear1"/>
    <dgm:cxn modelId="{F7D6D42E-D408-4688-8232-90C23F077690}" type="presOf" srcId="{A4C4C18B-5C8C-4F54-8575-6DD23FC1379F}" destId="{DBD038F8-5C95-4B9D-ABA3-299B4AD5A16D}" srcOrd="0" destOrd="0" presId="urn:microsoft.com/office/officeart/2005/8/layout/gear1"/>
    <dgm:cxn modelId="{8F3AF955-078F-4269-B7B0-B7200A3742F5}" type="presOf" srcId="{35CF9A39-36C8-4B0E-AA75-D0D9AF589222}" destId="{77057C76-71D4-423B-9F24-27CDE4010403}" srcOrd="1" destOrd="0" presId="urn:microsoft.com/office/officeart/2005/8/layout/gear1"/>
    <dgm:cxn modelId="{8E5CDC38-54D2-43FC-AA22-8E00F7FC74A9}" type="presOf" srcId="{35CF9A39-36C8-4B0E-AA75-D0D9AF589222}" destId="{34520645-EAFC-44D7-ACAF-25D9B9932A85}" srcOrd="0" destOrd="0" presId="urn:microsoft.com/office/officeart/2005/8/layout/gear1"/>
    <dgm:cxn modelId="{B9A9A950-6226-4C38-8239-432469DAEABC}" srcId="{17DB99D8-CDA4-4D9F-A71F-C2C7E46BE2DF}" destId="{4F7B6C70-94A8-4FEA-BA26-C4BE2D97B533}" srcOrd="0" destOrd="0" parTransId="{0D11F11D-1C53-4230-80D5-BD3353F1D6A7}" sibTransId="{0471BD25-A848-43BA-B1FD-11E6EB1665A5}"/>
    <dgm:cxn modelId="{6474CC1E-1C11-43CC-BA49-E786562032F4}" type="presOf" srcId="{FC400894-5BEF-4F35-BA7D-8752980B51D5}" destId="{87ADB2F3-E8CF-467F-937E-E781B0EFADE7}" srcOrd="3" destOrd="0" presId="urn:microsoft.com/office/officeart/2005/8/layout/gear1"/>
    <dgm:cxn modelId="{5A0312CE-0C8C-40E6-9280-81EE67DDE2CF}" type="presOf" srcId="{4F7B6C70-94A8-4FEA-BA26-C4BE2D97B533}" destId="{EF752364-C903-4278-8E84-027642232F70}" srcOrd="0" destOrd="0" presId="urn:microsoft.com/office/officeart/2005/8/layout/gear1"/>
    <dgm:cxn modelId="{3CA68BF5-933B-4BE3-B2EE-7E4D1FAD1F6D}" srcId="{17DB99D8-CDA4-4D9F-A71F-C2C7E46BE2DF}" destId="{FC400894-5BEF-4F35-BA7D-8752980B51D5}" srcOrd="2" destOrd="0" parTransId="{3D3FB704-CA1E-4499-A6DF-8EF5392B54AE}" sibTransId="{8973402E-2FA9-4583-919F-B33741A05EF8}"/>
    <dgm:cxn modelId="{C4545D6C-896D-432D-9E54-0CDB1B93DA67}" type="presOf" srcId="{4F7B6C70-94A8-4FEA-BA26-C4BE2D97B533}" destId="{3DA98CD7-788B-408B-B824-7C4D49AD73DD}" srcOrd="2" destOrd="0" presId="urn:microsoft.com/office/officeart/2005/8/layout/gear1"/>
    <dgm:cxn modelId="{D580EF95-565A-4EA9-812A-1E4CA4546C25}" srcId="{17DB99D8-CDA4-4D9F-A71F-C2C7E46BE2DF}" destId="{35CF9A39-36C8-4B0E-AA75-D0D9AF589222}" srcOrd="1" destOrd="0" parTransId="{1C7B2C62-FC7C-494B-A04B-79829E6B09CA}" sibTransId="{A4C4C18B-5C8C-4F54-8575-6DD23FC1379F}"/>
    <dgm:cxn modelId="{60ECC097-EC5A-4943-B5C5-B0782A00509A}" type="presOf" srcId="{4F7B6C70-94A8-4FEA-BA26-C4BE2D97B533}" destId="{6F4BE891-9CAC-493F-BB8A-3F9F53E2CB05}" srcOrd="1" destOrd="0" presId="urn:microsoft.com/office/officeart/2005/8/layout/gear1"/>
    <dgm:cxn modelId="{4BAB65E9-BA14-438A-A28F-C3DA965D90B4}" type="presOf" srcId="{FC400894-5BEF-4F35-BA7D-8752980B51D5}" destId="{D0B529B5-7ADC-4F62-AD26-3834D6CA8A86}" srcOrd="1" destOrd="0" presId="urn:microsoft.com/office/officeart/2005/8/layout/gear1"/>
    <dgm:cxn modelId="{F7CC8983-9319-41D0-B7CA-B33B9C419BF6}" type="presOf" srcId="{0471BD25-A848-43BA-B1FD-11E6EB1665A5}" destId="{061B9A08-FD1B-4661-BB59-07E7103B6223}" srcOrd="0" destOrd="0" presId="urn:microsoft.com/office/officeart/2005/8/layout/gear1"/>
    <dgm:cxn modelId="{A3F2A493-6037-4E5B-BECA-F60421A6F10A}" type="presOf" srcId="{35CF9A39-36C8-4B0E-AA75-D0D9AF589222}" destId="{1D77E946-AEE5-4706-8FB6-36CB67BAC5E2}" srcOrd="2" destOrd="0" presId="urn:microsoft.com/office/officeart/2005/8/layout/gear1"/>
    <dgm:cxn modelId="{267295A8-BEC4-49EC-9783-3A12CBC033DC}" type="presParOf" srcId="{B7DC6110-EC44-4DBD-8067-7E29F6C16AB0}" destId="{EF752364-C903-4278-8E84-027642232F70}" srcOrd="0" destOrd="0" presId="urn:microsoft.com/office/officeart/2005/8/layout/gear1"/>
    <dgm:cxn modelId="{CF195205-B3E1-447E-BC38-9BE3BF06780F}" type="presParOf" srcId="{B7DC6110-EC44-4DBD-8067-7E29F6C16AB0}" destId="{6F4BE891-9CAC-493F-BB8A-3F9F53E2CB05}" srcOrd="1" destOrd="0" presId="urn:microsoft.com/office/officeart/2005/8/layout/gear1"/>
    <dgm:cxn modelId="{196CD70F-E693-42CC-B5F6-9E9ABA5C83D3}" type="presParOf" srcId="{B7DC6110-EC44-4DBD-8067-7E29F6C16AB0}" destId="{3DA98CD7-788B-408B-B824-7C4D49AD73DD}" srcOrd="2" destOrd="0" presId="urn:microsoft.com/office/officeart/2005/8/layout/gear1"/>
    <dgm:cxn modelId="{74308D1D-F2F4-45A1-A2C3-C2E136139F02}" type="presParOf" srcId="{B7DC6110-EC44-4DBD-8067-7E29F6C16AB0}" destId="{34520645-EAFC-44D7-ACAF-25D9B9932A85}" srcOrd="3" destOrd="0" presId="urn:microsoft.com/office/officeart/2005/8/layout/gear1"/>
    <dgm:cxn modelId="{DF29D257-2EBA-42CD-9C2D-86FD3A13E51C}" type="presParOf" srcId="{B7DC6110-EC44-4DBD-8067-7E29F6C16AB0}" destId="{77057C76-71D4-423B-9F24-27CDE4010403}" srcOrd="4" destOrd="0" presId="urn:microsoft.com/office/officeart/2005/8/layout/gear1"/>
    <dgm:cxn modelId="{611A0973-D2E3-44E4-9441-9EAD647CB9B4}" type="presParOf" srcId="{B7DC6110-EC44-4DBD-8067-7E29F6C16AB0}" destId="{1D77E946-AEE5-4706-8FB6-36CB67BAC5E2}" srcOrd="5" destOrd="0" presId="urn:microsoft.com/office/officeart/2005/8/layout/gear1"/>
    <dgm:cxn modelId="{4BD33896-0393-480F-996B-00451E1B68E4}" type="presParOf" srcId="{B7DC6110-EC44-4DBD-8067-7E29F6C16AB0}" destId="{8E3F6681-50FB-499E-99AF-14B2A4F59E21}" srcOrd="6" destOrd="0" presId="urn:microsoft.com/office/officeart/2005/8/layout/gear1"/>
    <dgm:cxn modelId="{FCEC8A5A-C2A3-4B8F-8CFE-FCA58FDB7DB0}" type="presParOf" srcId="{B7DC6110-EC44-4DBD-8067-7E29F6C16AB0}" destId="{D0B529B5-7ADC-4F62-AD26-3834D6CA8A86}" srcOrd="7" destOrd="0" presId="urn:microsoft.com/office/officeart/2005/8/layout/gear1"/>
    <dgm:cxn modelId="{D822E0A4-1A2B-475E-B36D-A728CC5BAEE0}" type="presParOf" srcId="{B7DC6110-EC44-4DBD-8067-7E29F6C16AB0}" destId="{70923ACA-3F5A-4AC3-A7F4-57E8792B26D4}" srcOrd="8" destOrd="0" presId="urn:microsoft.com/office/officeart/2005/8/layout/gear1"/>
    <dgm:cxn modelId="{D6A93704-DE06-4000-BFE2-0639426BC269}" type="presParOf" srcId="{B7DC6110-EC44-4DBD-8067-7E29F6C16AB0}" destId="{87ADB2F3-E8CF-467F-937E-E781B0EFADE7}" srcOrd="9" destOrd="0" presId="urn:microsoft.com/office/officeart/2005/8/layout/gear1"/>
    <dgm:cxn modelId="{97B3B39A-2ED3-4B95-9C54-F69D4B20FD4A}" type="presParOf" srcId="{B7DC6110-EC44-4DBD-8067-7E29F6C16AB0}" destId="{061B9A08-FD1B-4661-BB59-07E7103B6223}" srcOrd="10" destOrd="0" presId="urn:microsoft.com/office/officeart/2005/8/layout/gear1"/>
    <dgm:cxn modelId="{F18E7CAA-8A45-4183-B874-63F9B3C22657}" type="presParOf" srcId="{B7DC6110-EC44-4DBD-8067-7E29F6C16AB0}" destId="{DBD038F8-5C95-4B9D-ABA3-299B4AD5A16D}" srcOrd="11" destOrd="0" presId="urn:microsoft.com/office/officeart/2005/8/layout/gear1"/>
    <dgm:cxn modelId="{8EF2431F-0244-49FC-9990-2B0C6DE50877}" type="presParOf" srcId="{B7DC6110-EC44-4DBD-8067-7E29F6C16AB0}" destId="{924E2F23-345D-4A7B-96B4-E40718ADF44A}" srcOrd="12" destOrd="0" presId="urn:microsoft.com/office/officeart/2005/8/layout/gear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F752364-C903-4278-8E84-027642232F70}">
      <dsp:nvSpPr>
        <dsp:cNvPr id="0" name=""/>
        <dsp:cNvSpPr/>
      </dsp:nvSpPr>
      <dsp:spPr>
        <a:xfrm>
          <a:off x="2537459" y="2685097"/>
          <a:ext cx="3101340" cy="3101340"/>
        </a:xfrm>
        <a:prstGeom prst="gear9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prstMaterial="plastic">
          <a:bevelT w="50800" h="50800"/>
          <a:bevelB w="50800" h="508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Určeno k výpočtu rychlostí a převodových poměrů traktorů domací výroby</a:t>
          </a:r>
        </a:p>
      </dsp:txBody>
      <dsp:txXfrm>
        <a:off x="3160966" y="3411571"/>
        <a:ext cx="1854326" cy="1594153"/>
      </dsp:txXfrm>
    </dsp:sp>
    <dsp:sp modelId="{34520645-EAFC-44D7-ACAF-25D9B9932A85}">
      <dsp:nvSpPr>
        <dsp:cNvPr id="0" name=""/>
        <dsp:cNvSpPr/>
      </dsp:nvSpPr>
      <dsp:spPr>
        <a:xfrm>
          <a:off x="733043" y="1952053"/>
          <a:ext cx="2255520" cy="2255520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prstMaterial="plastic">
          <a:bevelT w="50800" h="50800"/>
          <a:bevelB w="50800" h="508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v programu PŘEVODY</a:t>
          </a:r>
        </a:p>
      </dsp:txBody>
      <dsp:txXfrm>
        <a:off x="1300877" y="2523319"/>
        <a:ext cx="1119852" cy="1112988"/>
      </dsp:txXfrm>
    </dsp:sp>
    <dsp:sp modelId="{8E3F6681-50FB-499E-99AF-14B2A4F59E21}">
      <dsp:nvSpPr>
        <dsp:cNvPr id="0" name=""/>
        <dsp:cNvSpPr/>
      </dsp:nvSpPr>
      <dsp:spPr>
        <a:xfrm rot="20700000">
          <a:off x="2205668" y="285165"/>
          <a:ext cx="2209949" cy="2209949"/>
        </a:xfrm>
        <a:prstGeom prst="gear6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prstMaterial="plastic">
          <a:bevelT w="50800" h="50800"/>
          <a:bevelB w="50800" h="50800"/>
        </a:sp3d>
      </dsp:spPr>
      <dsp:style>
        <a:lnRef idx="0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Vítejte</a:t>
          </a:r>
        </a:p>
      </dsp:txBody>
      <dsp:txXfrm rot="-20700000">
        <a:off x="2690375" y="769872"/>
        <a:ext cx="1240536" cy="1240536"/>
      </dsp:txXfrm>
    </dsp:sp>
    <dsp:sp modelId="{061B9A08-FD1B-4661-BB59-07E7103B6223}">
      <dsp:nvSpPr>
        <dsp:cNvPr id="0" name=""/>
        <dsp:cNvSpPr/>
      </dsp:nvSpPr>
      <dsp:spPr>
        <a:xfrm>
          <a:off x="2315163" y="2207853"/>
          <a:ext cx="3969715" cy="3969715"/>
        </a:xfrm>
        <a:prstGeom prst="circularArrow">
          <a:avLst>
            <a:gd name="adj1" fmla="val 4687"/>
            <a:gd name="adj2" fmla="val 299029"/>
            <a:gd name="adj3" fmla="val 2542483"/>
            <a:gd name="adj4" fmla="val 15805705"/>
            <a:gd name="adj5" fmla="val 5469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tint val="60000"/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z="-25400" prstMaterial="plastic">
          <a:bevelT w="25400" h="25400"/>
          <a:bevelB w="25400" h="254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DBD038F8-5C95-4B9D-ABA3-299B4AD5A16D}">
      <dsp:nvSpPr>
        <dsp:cNvPr id="0" name=""/>
        <dsp:cNvSpPr/>
      </dsp:nvSpPr>
      <dsp:spPr>
        <a:xfrm>
          <a:off x="333595" y="1446793"/>
          <a:ext cx="2884246" cy="2884246"/>
        </a:xfrm>
        <a:prstGeom prst="leftCircularArrow">
          <a:avLst>
            <a:gd name="adj1" fmla="val 6452"/>
            <a:gd name="adj2" fmla="val 429999"/>
            <a:gd name="adj3" fmla="val 10489124"/>
            <a:gd name="adj4" fmla="val 14837806"/>
            <a:gd name="adj5" fmla="val 7527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tint val="60000"/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z="-25400" prstMaterial="plastic">
          <a:bevelT w="25400" h="25400"/>
          <a:bevelB w="25400" h="254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  <dsp:sp modelId="{924E2F23-345D-4A7B-96B4-E40718ADF44A}">
      <dsp:nvSpPr>
        <dsp:cNvPr id="0" name=""/>
        <dsp:cNvSpPr/>
      </dsp:nvSpPr>
      <dsp:spPr>
        <a:xfrm>
          <a:off x="1485181" y="-94286"/>
          <a:ext cx="3109798" cy="3109798"/>
        </a:xfrm>
        <a:prstGeom prst="circularArrow">
          <a:avLst>
            <a:gd name="adj1" fmla="val 5984"/>
            <a:gd name="adj2" fmla="val 394124"/>
            <a:gd name="adj3" fmla="val 13313824"/>
            <a:gd name="adj4" fmla="val 10508221"/>
            <a:gd name="adj5" fmla="val 6981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tint val="60000"/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p3d z="-25400" prstMaterial="plastic">
          <a:bevelT w="25400" h="25400"/>
          <a:bevelB w="25400" h="25400"/>
        </a:sp3d>
      </dsp:spPr>
      <dsp:style>
        <a:lnRef idx="1">
          <a:scrgbClr r="0" g="0" b="0"/>
        </a:lnRef>
        <a:fillRef idx="1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gear1">
  <dgm:title val=""/>
  <dgm:desc val=""/>
  <dgm:catLst>
    <dgm:cat type="relationship" pri="3000"/>
    <dgm:cat type="process" pri="28000"/>
    <dgm:cat type="cycle" pri="14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composite">
    <dgm:varLst>
      <dgm:chMax val="3"/>
      <dgm:animLvl val="lvl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0">
      <dgm:if name="Name1" axis="ch" ptType="node" func="cnt" op="lte" val="1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05"/>
          <dgm:constr type="t" for="ch" forName="gear1" refType="w" fact="0.05"/>
          <dgm:constr type="w" for="ch" forName="gear1srcNode" val="1"/>
          <dgm:constr type="h" for="ch" forName="gear1srcNode" val="1"/>
          <dgm:constr type="l" for="ch" forName="gear1srcNode" refType="w" fact="0.32"/>
          <dgm:constr type="t" for="ch" forName="gear1srcNode"/>
          <dgm:constr type="w" for="ch" forName="gear1dstNode" val="1"/>
          <dgm:constr type="h" for="ch" forName="gear1dstNode" val="1"/>
          <dgm:constr type="r" for="ch" forName="gear1dstNode" refType="w" fact="0.58"/>
          <dgm:constr type="t" for="ch" forName="gear1dstNode" refType="h" fact="0.5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/>
          <dgm:constr type="b" for="ch" forName="gear1ch" refType="h" fact="0.6"/>
        </dgm:constrLst>
      </dgm:if>
      <dgm:if name="Name2" axis="ch" ptType="node" func="cnt" op="equ" val="2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2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2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75"/>
          <dgm:constr type="diam" for="des" forName="connector1" refType="w" refFor="ch" refForName="gear1" op="equ" fact="1.1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w" fact="0.8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1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0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3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 refType="w" fact="0.34"/>
          <dgm:constr type="t" for="ch" forName="gear2ch" refType="w" fact="0.04"/>
        </dgm:constrLst>
      </dgm:if>
      <dgm:else name="Name3">
        <dgm:constrLst>
          <dgm:constr type="primFontSz" for="ch" ptType="node" op="equ" val="65"/>
          <dgm:constr type="w" for="ch" forName="gear1" refType="w" fact="0.55"/>
          <dgm:constr type="h" for="ch" forName="gear1" refType="w" fact="0.55"/>
          <dgm:constr type="l" for="ch" forName="gear1" refType="w" fact="0.45"/>
          <dgm:constr type="t" for="ch" forName="gear1" refType="w" fact="0.45"/>
          <dgm:constr type="w" for="ch" forName="gear1srcNode" val="1"/>
          <dgm:constr type="h" for="ch" forName="gear1srcNode" val="1"/>
          <dgm:constr type="l" for="ch" forName="gear1srcNode" refType="w" fact="0.72"/>
          <dgm:constr type="t" for="ch" forName="gear1srcNode" refType="w" fact="0.4"/>
          <dgm:constr type="w" for="ch" forName="gear1dstNode" val="1"/>
          <dgm:constr type="h" for="ch" forName="gear1dstNode" val="1"/>
          <dgm:constr type="r" for="ch" forName="gear1dstNode" refType="w" fact="0.98"/>
          <dgm:constr type="t" for="ch" forName="gear1dstNode" refType="h" fact="0.95"/>
          <dgm:constr type="diam" for="des" forName="connector1" refType="w" refFor="ch" refForName="gear1" op="equ" fact="1.15"/>
          <dgm:constr type="h" for="des" forName="connector1" refType="w" refFor="ch" refForName="gear1" op="equ" fact="0.1"/>
          <dgm:constr type="w" for="ch" forName="gear1ch" refType="w" fact="0.35"/>
          <dgm:constr type="h" for="ch" forName="gear1ch" refType="w" refFor="ch" refForName="gear1ch" fact="0.6"/>
          <dgm:constr type="l" for="ch" forName="gear1ch" refType="w" fact="0.38"/>
          <dgm:constr type="b" for="ch" forName="gear1ch" refType="h"/>
          <dgm:constr type="w" for="ch" forName="gear2" refType="w" fact="0.4"/>
          <dgm:constr type="h" for="ch" forName="gear2" refType="w" fact="0.4"/>
          <dgm:constr type="l" for="ch" forName="gear2" refType="w" fact="0.13"/>
          <dgm:constr type="t" for="ch" forName="gear2" refType="w" fact="0.32"/>
          <dgm:constr type="w" for="ch" forName="gear2srcNode" val="1"/>
          <dgm:constr type="h" for="ch" forName="gear2srcNode" val="1"/>
          <dgm:constr type="l" for="ch" forName="gear2srcNode" refType="w" fact="0.23"/>
          <dgm:constr type="t" for="ch" forName="gear2srcNode" refType="w" fact="0.28"/>
          <dgm:constr type="w" for="ch" forName="gear2dstNode" val="1"/>
          <dgm:constr type="h" for="ch" forName="gear2dstNode" val="1"/>
          <dgm:constr type="l" for="ch" forName="gear2dstNode" refType="w" fact="0.1"/>
          <dgm:constr type="t" for="ch" forName="gear2dstNode" refType="h" fact="0.53"/>
          <dgm:constr type="diam" for="des" forName="connector2" refType="w" refFor="ch" refForName="gear2" op="equ" fact="-1.1"/>
          <dgm:constr type="h" for="des" forName="connector2" refType="w" refFor="ch" refForName="gear1" op="equ" fact="0.1"/>
          <dgm:constr type="w" for="ch" forName="gear2ch" refType="w" fact="0.35"/>
          <dgm:constr type="h" for="ch" forName="gear2ch" refType="w" refFor="ch" refForName="gear2ch" fact="0.6"/>
          <dgm:constr type="l" for="ch" forName="gear2ch"/>
          <dgm:constr type="t" for="ch" forName="gear2ch" refType="w" fact="0.58"/>
          <dgm:constr type="w" for="ch" forName="gear3" refType="w" fact="0.48"/>
          <dgm:constr type="h" for="ch" forName="gear3" refType="w" fact="0.48"/>
          <dgm:constr type="l" for="ch" forName="gear3" refType="w" fact="0.31"/>
          <dgm:constr type="t" for="ch" forName="gear3"/>
          <dgm:constr type="w" for="ch" forName="gear3tx" refType="w" fact="0.22"/>
          <dgm:constr type="h" for="ch" forName="gear3tx" refType="w" fact="0.22"/>
          <dgm:constr type="ctrX" for="ch" forName="gear3tx" refType="ctrX" refFor="ch" refForName="gear3"/>
          <dgm:constr type="ctrY" for="ch" forName="gear3tx" refType="ctrY" refFor="ch" refForName="gear3"/>
          <dgm:constr type="w" for="ch" forName="gear3srcNode" val="1"/>
          <dgm:constr type="h" for="ch" forName="gear3srcNode" val="1"/>
          <dgm:constr type="l" for="ch" forName="gear3srcNode" refType="w" fact="0.3"/>
          <dgm:constr type="t" for="ch" forName="gear3srcNode" refType="w" fact="0.25"/>
          <dgm:constr type="w" for="ch" forName="gear3dstNode" val="1"/>
          <dgm:constr type="h" for="ch" forName="gear3dstNode" val="1"/>
          <dgm:constr type="l" for="ch" forName="gear3dstNode" refType="w" fact="0.38"/>
          <dgm:constr type="t" for="ch" forName="gear3dstNode" refType="h" fact="0.05"/>
          <dgm:constr type="diam" for="des" forName="connector3" refType="w" refFor="ch" refForName="gear3" op="equ"/>
          <dgm:constr type="h" for="des" forName="connector3" refType="w" refFor="ch" refForName="gear1" op="equ" fact="0.1"/>
          <dgm:constr type="w" for="ch" forName="gear3ch" refType="w" fact="0.35"/>
          <dgm:constr type="h" for="ch" forName="gear3ch" refType="w" refFor="ch" refForName="gear3ch" fact="0.6"/>
          <dgm:constr type="l" for="ch" forName="gear3ch" refType="w" fact="0.65"/>
          <dgm:constr type="t" for="ch" forName="gear3ch" refType="h" fact="0.13"/>
        </dgm:constrLst>
      </dgm:else>
    </dgm:choose>
    <dgm:ruleLst/>
    <dgm:forEach name="Name4" axis="ch" ptType="node" cnt="1">
      <dgm:layoutNode name="gear1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9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1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1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5">
        <dgm:if name="Name6" axis="ch" ptType="node" func="cnt" op="gte" val="1">
          <dgm:layoutNode name="gear1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7"/>
      </dgm:choose>
    </dgm:forEach>
    <dgm:forEach name="Name8" axis="ch" ptType="node" st="2" cnt="1">
      <dgm:layoutNode name="gear2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gear6" r:blip="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2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2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9">
        <dgm:if name="Name10" axis="ch" ptType="node" func="cnt" op="gte" val="1">
          <dgm:layoutNode name="gear2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1"/>
      </dgm:choose>
    </dgm:forEach>
    <dgm:forEach name="Name12" axis="ch" ptType="node" st="3" cnt="1">
      <dgm:layoutNode name="gear3" styleLbl="node1">
        <dgm:alg type="sp"/>
        <dgm:shape xmlns:r="http://schemas.openxmlformats.org/officeDocument/2006/relationships" rot="-15" type="gear6" r:blip="">
          <dgm:adjLst/>
        </dgm:shape>
        <dgm:presOf axis="self"/>
        <dgm:constrLst/>
        <dgm:ruleLst/>
      </dgm:layoutNode>
      <dgm:layoutNode name="gear3tx" styleLbl="node1">
        <dgm:varLst>
          <dgm:chMax val="1"/>
          <dgm:bulletEnabled val="1"/>
        </dgm:varLst>
        <dgm:alg type="tx">
          <dgm:param type="txAnchorVertCh" val="mid"/>
        </dgm:alg>
        <dgm:shape xmlns:r="http://schemas.openxmlformats.org/officeDocument/2006/relationships" type="rect" r:blip="" hideGeom="1">
          <dgm:adjLst/>
        </dgm:shape>
        <dgm:presOf axis="self"/>
        <dgm:constrLst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layoutNode name="gear3src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layoutNode name="gear3dstNode">
        <dgm:alg type="sp"/>
        <dgm:shape xmlns:r="http://schemas.openxmlformats.org/officeDocument/2006/relationships" type="rect" r:blip="" hideGeom="1">
          <dgm:adjLst/>
        </dgm:shape>
        <dgm:presOf axis="self"/>
        <dgm:constrLst/>
        <dgm:ruleLst/>
      </dgm:layoutNode>
      <dgm:choose name="Name13">
        <dgm:if name="Name14" axis="ch" ptType="node" func="cnt" op="gte" val="1">
          <dgm:layoutNode name="gear3ch" styleLbl="fgAcc1">
            <dgm:varLst>
              <dgm:chMax val="0"/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>
              <dgm:constr type="tMarg" refType="primFontSz" fact="0.3"/>
              <dgm:constr type="bMarg" refType="primFontSz" fact="0.3"/>
              <dgm:constr type="lMarg" refType="primFontSz" fact="0.3"/>
              <dgm:constr type="rMarg" refType="primFontSz" fact="0.3"/>
            </dgm:constrLst>
            <dgm:ruleLst>
              <dgm:rule type="primFontSz" val="5" fact="NaN" max="NaN"/>
            </dgm:ruleLst>
          </dgm:layoutNode>
        </dgm:if>
        <dgm:else name="Name15"/>
      </dgm:choose>
    </dgm:forEach>
    <dgm:forEach name="Name16" axis="ch" ptType="sibTrans" hideLastTrans="0" cnt="1">
      <dgm:layoutNode name="connector1" styleLbl="sibTrans2D1">
        <dgm:alg type="conn">
          <dgm:param type="connRout" val="curve"/>
          <dgm:param type="srcNode" val="gear1srcNode"/>
          <dgm:param type="dstNode" val="gear1dstNode"/>
          <dgm:param type="begPts" val="midR"/>
          <dgm:param type="endPts" val="tCtr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7" axis="ch" ptType="sibTrans" hideLastTrans="0" st="2" cnt="1">
      <dgm:layoutNode name="connector2" styleLbl="sibTrans2D1">
        <dgm:alg type="conn">
          <dgm:param type="connRout" val="curve"/>
          <dgm:param type="srcNode" val="gear2srcNode"/>
          <dgm:param type="dstNode" val="gear2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  <dgm:forEach name="Name18" axis="ch" ptType="sibTrans" hideLastTrans="0" st="3" cnt="1">
      <dgm:layoutNode name="connector3" styleLbl="sibTrans2D1">
        <dgm:alg type="conn">
          <dgm:param type="connRout" val="curve"/>
          <dgm:param type="srcNode" val="gear3srcNode"/>
          <dgm:param type="dstNode" val="gear3dstNode"/>
          <dgm:param type="begPts" val="midL"/>
          <dgm:param type="endPts" val="midL"/>
        </dgm:alg>
        <dgm:shape xmlns:r="http://schemas.openxmlformats.org/officeDocument/2006/relationships" type="conn" r:blip="">
          <dgm:adjLst/>
        </dgm:shape>
        <dgm:presOf axis="self"/>
        <dgm:constrLst>
          <dgm:constr type="w" val="10"/>
          <dgm:constr type="h" val="10"/>
          <dgm:constr type="begPad"/>
          <dgm:constr type="endPad"/>
        </dgm:constrLst>
        <dgm:ruleLst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6">
  <dgm:title val=""/>
  <dgm:desc val=""/>
  <dgm:catLst>
    <dgm:cat type="3D" pri="11600"/>
  </dgm:catLst>
  <dgm:scene3d>
    <a:camera prst="perspectiveRelaxedModerately" zoom="92000"/>
    <a:lightRig rig="balanced" dir="t">
      <a:rot lat="0" lon="0" rev="12700000"/>
    </a:lightRig>
  </dgm:scene3d>
  <dgm:styleLbl name="node0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 z="50080"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 z="-54000"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 z="-2540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 z="-54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 z="-25400" prstMaterial="plastic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75000" prstMaterial="plastic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 z="-25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 z="-25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 z="-25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 z="-25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 z="-25400" prstMaterial="plastic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parChTrans1D2">
    <dgm:scene3d>
      <a:camera prst="orthographicFront"/>
      <a:lightRig rig="threePt" dir="t"/>
    </dgm:scene3d>
    <dgm:sp3d z="-25400" prstMaterial="plastic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parChTrans1D3">
    <dgm:scene3d>
      <a:camera prst="orthographicFront"/>
      <a:lightRig rig="threePt" dir="t"/>
    </dgm:scene3d>
    <dgm:sp3d z="-25400" prstMaterial="plastic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parChTrans1D4">
    <dgm:scene3d>
      <a:camera prst="orthographicFront"/>
      <a:lightRig rig="threePt" dir="t"/>
    </dgm:scene3d>
    <dgm:sp3d z="-25400" prstMaterial="plastic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fgAcc1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 z="-15240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 z="-15240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 z="15240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 z="-15240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 z="-152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 z="50080" prstMaterial="plastic">
      <a:bevelT w="25400" h="25400"/>
      <a:bevelB w="254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 z="-152400" prstMaterial="plastic">
      <a:bevelT w="25400" h="25400"/>
      <a:bevelB w="25400" h="25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 z="-10400" extrusionH="12700" prstMaterial="plastic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 z="50080" prstMaterial="plastic">
      <a:bevelT w="50800" h="50800"/>
      <a:bevelB w="50800" h="508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0</xdr:rowOff>
    </xdr:from>
    <xdr:to>
      <xdr:col>9</xdr:col>
      <xdr:colOff>238126</xdr:colOff>
      <xdr:row>25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16</xdr:col>
      <xdr:colOff>142876</xdr:colOff>
      <xdr:row>22</xdr:row>
      <xdr:rowOff>1933</xdr:rowOff>
    </xdr:from>
    <xdr:to>
      <xdr:col>17</xdr:col>
      <xdr:colOff>47626</xdr:colOff>
      <xdr:row>24</xdr:row>
      <xdr:rowOff>45899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6476" y="5240683"/>
          <a:ext cx="514350" cy="424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57150</xdr:rowOff>
    </xdr:from>
    <xdr:to>
      <xdr:col>4</xdr:col>
      <xdr:colOff>590550</xdr:colOff>
      <xdr:row>15</xdr:row>
      <xdr:rowOff>57150</xdr:rowOff>
    </xdr:to>
    <xdr:sp macro="" textlink="">
      <xdr:nvSpPr>
        <xdr:cNvPr id="3" name="Obdélník se zakulaceným rohem na stejné straně 2"/>
        <xdr:cNvSpPr/>
      </xdr:nvSpPr>
      <xdr:spPr>
        <a:xfrm>
          <a:off x="1257300" y="1200150"/>
          <a:ext cx="2047875" cy="1714500"/>
        </a:xfrm>
        <a:prstGeom prst="round2Same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428624</xdr:colOff>
      <xdr:row>1</xdr:row>
      <xdr:rowOff>57150</xdr:rowOff>
    </xdr:from>
    <xdr:to>
      <xdr:col>3</xdr:col>
      <xdr:colOff>704849</xdr:colOff>
      <xdr:row>6</xdr:row>
      <xdr:rowOff>47625</xdr:rowOff>
    </xdr:to>
    <xdr:sp macro="" textlink="">
      <xdr:nvSpPr>
        <xdr:cNvPr id="4" name="Obdélník 3"/>
        <xdr:cNvSpPr/>
      </xdr:nvSpPr>
      <xdr:spPr>
        <a:xfrm>
          <a:off x="2257424" y="247650"/>
          <a:ext cx="276225" cy="942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561975</xdr:colOff>
      <xdr:row>13</xdr:row>
      <xdr:rowOff>133350</xdr:rowOff>
    </xdr:from>
    <xdr:to>
      <xdr:col>3</xdr:col>
      <xdr:colOff>676275</xdr:colOff>
      <xdr:row>21</xdr:row>
      <xdr:rowOff>38100</xdr:rowOff>
    </xdr:to>
    <xdr:sp macro="" textlink="">
      <xdr:nvSpPr>
        <xdr:cNvPr id="14" name="Ovál 13"/>
        <xdr:cNvSpPr/>
      </xdr:nvSpPr>
      <xdr:spPr>
        <a:xfrm>
          <a:off x="1171575" y="2743200"/>
          <a:ext cx="1514475" cy="142875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19048</xdr:colOff>
      <xdr:row>11</xdr:row>
      <xdr:rowOff>152400</xdr:rowOff>
    </xdr:from>
    <xdr:to>
      <xdr:col>9</xdr:col>
      <xdr:colOff>19049</xdr:colOff>
      <xdr:row>15</xdr:row>
      <xdr:rowOff>114300</xdr:rowOff>
    </xdr:to>
    <xdr:sp macro="" textlink="">
      <xdr:nvSpPr>
        <xdr:cNvPr id="21" name="Pětiúhelník 20"/>
        <xdr:cNvSpPr/>
      </xdr:nvSpPr>
      <xdr:spPr>
        <a:xfrm rot="10800000">
          <a:off x="4991098" y="2381250"/>
          <a:ext cx="1371601" cy="723900"/>
        </a:xfrm>
        <a:prstGeom prst="homePlate">
          <a:avLst>
            <a:gd name="adj" fmla="val 11842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600074</xdr:colOff>
      <xdr:row>10</xdr:row>
      <xdr:rowOff>171449</xdr:rowOff>
    </xdr:from>
    <xdr:to>
      <xdr:col>8</xdr:col>
      <xdr:colOff>0</xdr:colOff>
      <xdr:row>15</xdr:row>
      <xdr:rowOff>28574</xdr:rowOff>
    </xdr:to>
    <xdr:sp macro="" textlink="">
      <xdr:nvSpPr>
        <xdr:cNvPr id="16" name="Obdélník 15"/>
        <xdr:cNvSpPr/>
      </xdr:nvSpPr>
      <xdr:spPr>
        <a:xfrm>
          <a:off x="3314699" y="2209799"/>
          <a:ext cx="1657351" cy="8096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19050</xdr:colOff>
      <xdr:row>6</xdr:row>
      <xdr:rowOff>38100</xdr:rowOff>
    </xdr:from>
    <xdr:to>
      <xdr:col>10</xdr:col>
      <xdr:colOff>485775</xdr:colOff>
      <xdr:row>22</xdr:row>
      <xdr:rowOff>123825</xdr:rowOff>
    </xdr:to>
    <xdr:sp macro="" textlink="">
      <xdr:nvSpPr>
        <xdr:cNvPr id="12" name="Ovál 11"/>
        <xdr:cNvSpPr/>
      </xdr:nvSpPr>
      <xdr:spPr>
        <a:xfrm>
          <a:off x="4029075" y="1314450"/>
          <a:ext cx="3143250" cy="3133725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7</xdr:row>
      <xdr:rowOff>85725</xdr:rowOff>
    </xdr:from>
    <xdr:to>
      <xdr:col>11</xdr:col>
      <xdr:colOff>190500</xdr:colOff>
      <xdr:row>23</xdr:row>
      <xdr:rowOff>171450</xdr:rowOff>
    </xdr:to>
    <xdr:sp macro="" textlink="">
      <xdr:nvSpPr>
        <xdr:cNvPr id="2" name="Ovál 1"/>
        <xdr:cNvSpPr/>
      </xdr:nvSpPr>
      <xdr:spPr>
        <a:xfrm>
          <a:off x="4333875" y="1524000"/>
          <a:ext cx="3143250" cy="3133725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4</xdr:col>
      <xdr:colOff>590550</xdr:colOff>
      <xdr:row>15</xdr:row>
      <xdr:rowOff>57150</xdr:rowOff>
    </xdr:to>
    <xdr:sp macro="" textlink="">
      <xdr:nvSpPr>
        <xdr:cNvPr id="3" name="Obdélník se zakulaceným rohem na stejné straně 2"/>
        <xdr:cNvSpPr/>
      </xdr:nvSpPr>
      <xdr:spPr>
        <a:xfrm>
          <a:off x="1257300" y="1200150"/>
          <a:ext cx="2047875" cy="1714500"/>
        </a:xfrm>
        <a:prstGeom prst="round2Same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428624</xdr:colOff>
      <xdr:row>1</xdr:row>
      <xdr:rowOff>57150</xdr:rowOff>
    </xdr:from>
    <xdr:to>
      <xdr:col>3</xdr:col>
      <xdr:colOff>704849</xdr:colOff>
      <xdr:row>6</xdr:row>
      <xdr:rowOff>47625</xdr:rowOff>
    </xdr:to>
    <xdr:sp macro="" textlink="">
      <xdr:nvSpPr>
        <xdr:cNvPr id="4" name="Obdélník 3"/>
        <xdr:cNvSpPr/>
      </xdr:nvSpPr>
      <xdr:spPr>
        <a:xfrm>
          <a:off x="2438399" y="247650"/>
          <a:ext cx="276225" cy="942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200025</xdr:colOff>
      <xdr:row>14</xdr:row>
      <xdr:rowOff>9525</xdr:rowOff>
    </xdr:from>
    <xdr:to>
      <xdr:col>4</xdr:col>
      <xdr:colOff>409575</xdr:colOff>
      <xdr:row>22</xdr:row>
      <xdr:rowOff>123825</xdr:rowOff>
    </xdr:to>
    <xdr:sp macro="" textlink="">
      <xdr:nvSpPr>
        <xdr:cNvPr id="5" name="Ovál 4"/>
        <xdr:cNvSpPr/>
      </xdr:nvSpPr>
      <xdr:spPr>
        <a:xfrm>
          <a:off x="1019175" y="2771775"/>
          <a:ext cx="1704975" cy="163830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8</xdr:col>
      <xdr:colOff>609599</xdr:colOff>
      <xdr:row>12</xdr:row>
      <xdr:rowOff>123825</xdr:rowOff>
    </xdr:from>
    <xdr:to>
      <xdr:col>10</xdr:col>
      <xdr:colOff>76197</xdr:colOff>
      <xdr:row>16</xdr:row>
      <xdr:rowOff>85725</xdr:rowOff>
    </xdr:to>
    <xdr:sp macro="" textlink="">
      <xdr:nvSpPr>
        <xdr:cNvPr id="7" name="Pětiúhelník 6"/>
        <xdr:cNvSpPr/>
      </xdr:nvSpPr>
      <xdr:spPr>
        <a:xfrm rot="10800000">
          <a:off x="5362574" y="2533650"/>
          <a:ext cx="1076323" cy="723900"/>
        </a:xfrm>
        <a:custGeom>
          <a:avLst/>
          <a:gdLst>
            <a:gd name="connsiteX0" fmla="*/ 0 w 1257299"/>
            <a:gd name="connsiteY0" fmla="*/ 0 h 723900"/>
            <a:gd name="connsiteX1" fmla="*/ 895349 w 1257299"/>
            <a:gd name="connsiteY1" fmla="*/ 0 h 723900"/>
            <a:gd name="connsiteX2" fmla="*/ 1257299 w 1257299"/>
            <a:gd name="connsiteY2" fmla="*/ 361950 h 723900"/>
            <a:gd name="connsiteX3" fmla="*/ 895349 w 1257299"/>
            <a:gd name="connsiteY3" fmla="*/ 723900 h 723900"/>
            <a:gd name="connsiteX4" fmla="*/ 0 w 1257299"/>
            <a:gd name="connsiteY4" fmla="*/ 723900 h 723900"/>
            <a:gd name="connsiteX5" fmla="*/ 0 w 1257299"/>
            <a:gd name="connsiteY5" fmla="*/ 0 h 723900"/>
            <a:gd name="connsiteX0" fmla="*/ 0 w 1104899"/>
            <a:gd name="connsiteY0" fmla="*/ 0 h 723900"/>
            <a:gd name="connsiteX1" fmla="*/ 895349 w 1104899"/>
            <a:gd name="connsiteY1" fmla="*/ 0 h 723900"/>
            <a:gd name="connsiteX2" fmla="*/ 1104899 w 1104899"/>
            <a:gd name="connsiteY2" fmla="*/ 352425 h 723900"/>
            <a:gd name="connsiteX3" fmla="*/ 895349 w 1104899"/>
            <a:gd name="connsiteY3" fmla="*/ 723900 h 723900"/>
            <a:gd name="connsiteX4" fmla="*/ 0 w 1104899"/>
            <a:gd name="connsiteY4" fmla="*/ 723900 h 723900"/>
            <a:gd name="connsiteX5" fmla="*/ 0 w 1104899"/>
            <a:gd name="connsiteY5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4899" h="723900">
              <a:moveTo>
                <a:pt x="0" y="0"/>
              </a:moveTo>
              <a:lnTo>
                <a:pt x="895349" y="0"/>
              </a:lnTo>
              <a:lnTo>
                <a:pt x="1104899" y="352425"/>
              </a:lnTo>
              <a:lnTo>
                <a:pt x="895349" y="723900"/>
              </a:lnTo>
              <a:lnTo>
                <a:pt x="0" y="7239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590549</xdr:colOff>
      <xdr:row>11</xdr:row>
      <xdr:rowOff>66675</xdr:rowOff>
    </xdr:from>
    <xdr:to>
      <xdr:col>7</xdr:col>
      <xdr:colOff>19050</xdr:colOff>
      <xdr:row>15</xdr:row>
      <xdr:rowOff>114300</xdr:rowOff>
    </xdr:to>
    <xdr:sp macro="" textlink="">
      <xdr:nvSpPr>
        <xdr:cNvPr id="8" name="Obdélník 7"/>
        <xdr:cNvSpPr/>
      </xdr:nvSpPr>
      <xdr:spPr>
        <a:xfrm>
          <a:off x="2905124" y="2286000"/>
          <a:ext cx="1257301" cy="8096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28574</xdr:colOff>
      <xdr:row>11</xdr:row>
      <xdr:rowOff>66675</xdr:rowOff>
    </xdr:from>
    <xdr:to>
      <xdr:col>9</xdr:col>
      <xdr:colOff>19049</xdr:colOff>
      <xdr:row>15</xdr:row>
      <xdr:rowOff>114300</xdr:rowOff>
    </xdr:to>
    <xdr:sp macro="" textlink="">
      <xdr:nvSpPr>
        <xdr:cNvPr id="9" name="Obdélník 8"/>
        <xdr:cNvSpPr/>
      </xdr:nvSpPr>
      <xdr:spPr>
        <a:xfrm>
          <a:off x="4210049" y="2266950"/>
          <a:ext cx="1114425" cy="8096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7</xdr:row>
      <xdr:rowOff>28575</xdr:rowOff>
    </xdr:from>
    <xdr:to>
      <xdr:col>11</xdr:col>
      <xdr:colOff>933451</xdr:colOff>
      <xdr:row>23</xdr:row>
      <xdr:rowOff>114300</xdr:rowOff>
    </xdr:to>
    <xdr:sp macro="" textlink="">
      <xdr:nvSpPr>
        <xdr:cNvPr id="2" name="Ovál 1"/>
        <xdr:cNvSpPr/>
      </xdr:nvSpPr>
      <xdr:spPr>
        <a:xfrm>
          <a:off x="5114925" y="1495425"/>
          <a:ext cx="3209926" cy="3133725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4</xdr:col>
      <xdr:colOff>590550</xdr:colOff>
      <xdr:row>15</xdr:row>
      <xdr:rowOff>57150</xdr:rowOff>
    </xdr:to>
    <xdr:sp macro="" textlink="">
      <xdr:nvSpPr>
        <xdr:cNvPr id="3" name="Obdélník se zakulaceným rohem na stejné straně 2"/>
        <xdr:cNvSpPr/>
      </xdr:nvSpPr>
      <xdr:spPr>
        <a:xfrm>
          <a:off x="857250" y="1200150"/>
          <a:ext cx="2047875" cy="1714500"/>
        </a:xfrm>
        <a:prstGeom prst="round2Same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428624</xdr:colOff>
      <xdr:row>1</xdr:row>
      <xdr:rowOff>57150</xdr:rowOff>
    </xdr:from>
    <xdr:to>
      <xdr:col>3</xdr:col>
      <xdr:colOff>704849</xdr:colOff>
      <xdr:row>6</xdr:row>
      <xdr:rowOff>47625</xdr:rowOff>
    </xdr:to>
    <xdr:sp macro="" textlink="">
      <xdr:nvSpPr>
        <xdr:cNvPr id="4" name="Obdélník 3"/>
        <xdr:cNvSpPr/>
      </xdr:nvSpPr>
      <xdr:spPr>
        <a:xfrm>
          <a:off x="2038349" y="247650"/>
          <a:ext cx="276225" cy="942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981074</xdr:colOff>
      <xdr:row>12</xdr:row>
      <xdr:rowOff>123825</xdr:rowOff>
    </xdr:from>
    <xdr:to>
      <xdr:col>11</xdr:col>
      <xdr:colOff>95248</xdr:colOff>
      <xdr:row>16</xdr:row>
      <xdr:rowOff>85725</xdr:rowOff>
    </xdr:to>
    <xdr:sp macro="" textlink="">
      <xdr:nvSpPr>
        <xdr:cNvPr id="6" name="Pětiúhelník 6"/>
        <xdr:cNvSpPr/>
      </xdr:nvSpPr>
      <xdr:spPr>
        <a:xfrm rot="10800000">
          <a:off x="6429374" y="2409825"/>
          <a:ext cx="1104899" cy="723900"/>
        </a:xfrm>
        <a:custGeom>
          <a:avLst/>
          <a:gdLst>
            <a:gd name="connsiteX0" fmla="*/ 0 w 1257299"/>
            <a:gd name="connsiteY0" fmla="*/ 0 h 723900"/>
            <a:gd name="connsiteX1" fmla="*/ 895349 w 1257299"/>
            <a:gd name="connsiteY1" fmla="*/ 0 h 723900"/>
            <a:gd name="connsiteX2" fmla="*/ 1257299 w 1257299"/>
            <a:gd name="connsiteY2" fmla="*/ 361950 h 723900"/>
            <a:gd name="connsiteX3" fmla="*/ 895349 w 1257299"/>
            <a:gd name="connsiteY3" fmla="*/ 723900 h 723900"/>
            <a:gd name="connsiteX4" fmla="*/ 0 w 1257299"/>
            <a:gd name="connsiteY4" fmla="*/ 723900 h 723900"/>
            <a:gd name="connsiteX5" fmla="*/ 0 w 1257299"/>
            <a:gd name="connsiteY5" fmla="*/ 0 h 723900"/>
            <a:gd name="connsiteX0" fmla="*/ 0 w 1104899"/>
            <a:gd name="connsiteY0" fmla="*/ 0 h 723900"/>
            <a:gd name="connsiteX1" fmla="*/ 895349 w 1104899"/>
            <a:gd name="connsiteY1" fmla="*/ 0 h 723900"/>
            <a:gd name="connsiteX2" fmla="*/ 1104899 w 1104899"/>
            <a:gd name="connsiteY2" fmla="*/ 352425 h 723900"/>
            <a:gd name="connsiteX3" fmla="*/ 895349 w 1104899"/>
            <a:gd name="connsiteY3" fmla="*/ 723900 h 723900"/>
            <a:gd name="connsiteX4" fmla="*/ 0 w 1104899"/>
            <a:gd name="connsiteY4" fmla="*/ 723900 h 723900"/>
            <a:gd name="connsiteX5" fmla="*/ 0 w 1104899"/>
            <a:gd name="connsiteY5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4899" h="723900">
              <a:moveTo>
                <a:pt x="0" y="0"/>
              </a:moveTo>
              <a:lnTo>
                <a:pt x="895349" y="0"/>
              </a:lnTo>
              <a:lnTo>
                <a:pt x="1104899" y="352425"/>
              </a:lnTo>
              <a:lnTo>
                <a:pt x="895349" y="723900"/>
              </a:lnTo>
              <a:lnTo>
                <a:pt x="0" y="7239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581024</xdr:colOff>
      <xdr:row>11</xdr:row>
      <xdr:rowOff>66675</xdr:rowOff>
    </xdr:from>
    <xdr:to>
      <xdr:col>7</xdr:col>
      <xdr:colOff>9525</xdr:colOff>
      <xdr:row>15</xdr:row>
      <xdr:rowOff>114300</xdr:rowOff>
    </xdr:to>
    <xdr:sp macro="" textlink="">
      <xdr:nvSpPr>
        <xdr:cNvPr id="7" name="Obdélník 6"/>
        <xdr:cNvSpPr/>
      </xdr:nvSpPr>
      <xdr:spPr>
        <a:xfrm>
          <a:off x="2895599" y="2162175"/>
          <a:ext cx="1295401" cy="8096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28575</xdr:colOff>
      <xdr:row>11</xdr:row>
      <xdr:rowOff>66675</xdr:rowOff>
    </xdr:from>
    <xdr:to>
      <xdr:col>8</xdr:col>
      <xdr:colOff>609600</xdr:colOff>
      <xdr:row>15</xdr:row>
      <xdr:rowOff>114300</xdr:rowOff>
    </xdr:to>
    <xdr:sp macro="" textlink="">
      <xdr:nvSpPr>
        <xdr:cNvPr id="8" name="Obdélník 7"/>
        <xdr:cNvSpPr/>
      </xdr:nvSpPr>
      <xdr:spPr>
        <a:xfrm>
          <a:off x="4257675" y="2295525"/>
          <a:ext cx="1200150" cy="8096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9</xdr:col>
      <xdr:colOff>9525</xdr:colOff>
      <xdr:row>11</xdr:row>
      <xdr:rowOff>0</xdr:rowOff>
    </xdr:from>
    <xdr:to>
      <xdr:col>9</xdr:col>
      <xdr:colOff>1000124</xdr:colOff>
      <xdr:row>17</xdr:row>
      <xdr:rowOff>85725</xdr:rowOff>
    </xdr:to>
    <xdr:sp macro="" textlink="">
      <xdr:nvSpPr>
        <xdr:cNvPr id="10" name="Obdélník 9"/>
        <xdr:cNvSpPr/>
      </xdr:nvSpPr>
      <xdr:spPr>
        <a:xfrm>
          <a:off x="5450681" y="2095500"/>
          <a:ext cx="990599" cy="122872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8</xdr:col>
      <xdr:colOff>88324</xdr:colOff>
      <xdr:row>37</xdr:row>
      <xdr:rowOff>71007</xdr:rowOff>
    </xdr:from>
    <xdr:to>
      <xdr:col>8</xdr:col>
      <xdr:colOff>503085</xdr:colOff>
      <xdr:row>38</xdr:row>
      <xdr:rowOff>114301</xdr:rowOff>
    </xdr:to>
    <xdr:pic>
      <xdr:nvPicPr>
        <xdr:cNvPr id="11" name="Obrázek 10" descr="C:\Users\U67054\AppData\Local\Microsoft\Windows\Temporary Internet Files\Content.IE5\N8EB2HXV\MC900441417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874" y="7319532"/>
          <a:ext cx="414761" cy="2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129887</xdr:colOff>
      <xdr:row>47</xdr:row>
      <xdr:rowOff>38966</xdr:rowOff>
    </xdr:from>
    <xdr:to>
      <xdr:col>8</xdr:col>
      <xdr:colOff>435944</xdr:colOff>
      <xdr:row>48</xdr:row>
      <xdr:rowOff>125557</xdr:rowOff>
    </xdr:to>
    <xdr:pic>
      <xdr:nvPicPr>
        <xdr:cNvPr id="12" name="Obrázek 11" descr="C:\Users\U67054\AppData\Local\Microsoft\Windows\Temporary Internet Files\Content.IE5\N8EB2HXV\MC90005281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1437" y="9211541"/>
          <a:ext cx="306057" cy="27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24245</xdr:colOff>
      <xdr:row>57</xdr:row>
      <xdr:rowOff>91786</xdr:rowOff>
    </xdr:from>
    <xdr:to>
      <xdr:col>8</xdr:col>
      <xdr:colOff>439006</xdr:colOff>
      <xdr:row>58</xdr:row>
      <xdr:rowOff>135080</xdr:rowOff>
    </xdr:to>
    <xdr:pic>
      <xdr:nvPicPr>
        <xdr:cNvPr id="19" name="Obrázek 18" descr="C:\Users\U67054\AppData\Local\Microsoft\Windows\Temporary Internet Files\Content.IE5\N8EB2HXV\MC900441417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5795" y="11197936"/>
          <a:ext cx="414761" cy="2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56284</xdr:colOff>
      <xdr:row>77</xdr:row>
      <xdr:rowOff>59748</xdr:rowOff>
    </xdr:from>
    <xdr:to>
      <xdr:col>8</xdr:col>
      <xdr:colOff>471045</xdr:colOff>
      <xdr:row>78</xdr:row>
      <xdr:rowOff>104773</xdr:rowOff>
    </xdr:to>
    <xdr:pic>
      <xdr:nvPicPr>
        <xdr:cNvPr id="20" name="Obrázek 19" descr="C:\Users\U67054\AppData\Local\Microsoft\Windows\Temporary Internet Files\Content.IE5\N8EB2HXV\MC900441417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7834" y="15033048"/>
          <a:ext cx="414761" cy="23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819150</xdr:colOff>
      <xdr:row>40</xdr:row>
      <xdr:rowOff>180976</xdr:rowOff>
    </xdr:from>
    <xdr:to>
      <xdr:col>9</xdr:col>
      <xdr:colOff>9525</xdr:colOff>
      <xdr:row>43</xdr:row>
      <xdr:rowOff>77620</xdr:rowOff>
    </xdr:to>
    <xdr:pic>
      <xdr:nvPicPr>
        <xdr:cNvPr id="23" name="Obrázek 22" descr="C:\Users\U67054\AppData\Local\Microsoft\Windows\Temporary Internet Files\Content.IE5\O32B3MZA\MC900241119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70000" contrast="-70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8250" y="7981951"/>
          <a:ext cx="628650" cy="468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828675</xdr:colOff>
      <xdr:row>51</xdr:row>
      <xdr:rowOff>19051</xdr:rowOff>
    </xdr:from>
    <xdr:to>
      <xdr:col>8</xdr:col>
      <xdr:colOff>590550</xdr:colOff>
      <xdr:row>53</xdr:row>
      <xdr:rowOff>77823</xdr:rowOff>
    </xdr:to>
    <xdr:pic>
      <xdr:nvPicPr>
        <xdr:cNvPr id="27" name="Obrázek 26" descr="C:\Users\U67054\AppData\Local\Microsoft\Windows\Temporary Internet Files\Content.IE5\O32B3MZA\MC900241119[1].wm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70000" contrast="-70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7775" y="9934576"/>
          <a:ext cx="590550" cy="439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114300</xdr:colOff>
      <xdr:row>67</xdr:row>
      <xdr:rowOff>57150</xdr:rowOff>
    </xdr:from>
    <xdr:to>
      <xdr:col>8</xdr:col>
      <xdr:colOff>420357</xdr:colOff>
      <xdr:row>68</xdr:row>
      <xdr:rowOff>143741</xdr:rowOff>
    </xdr:to>
    <xdr:pic>
      <xdr:nvPicPr>
        <xdr:cNvPr id="21" name="Obrázek 20" descr="C:\Users\U67054\AppData\Local\Microsoft\Windows\Temporary Internet Files\Content.IE5\N8EB2HXV\MC90005281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3087350"/>
          <a:ext cx="306057" cy="27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87</xdr:row>
      <xdr:rowOff>95250</xdr:rowOff>
    </xdr:from>
    <xdr:to>
      <xdr:col>8</xdr:col>
      <xdr:colOff>410832</xdr:colOff>
      <xdr:row>88</xdr:row>
      <xdr:rowOff>181841</xdr:rowOff>
    </xdr:to>
    <xdr:pic>
      <xdr:nvPicPr>
        <xdr:cNvPr id="22" name="Obrázek 21" descr="C:\Users\U67054\AppData\Local\Microsoft\Windows\Temporary Internet Files\Content.IE5\N8EB2HXV\MC900052819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16992600"/>
          <a:ext cx="306057" cy="277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171450</xdr:colOff>
      <xdr:row>14</xdr:row>
      <xdr:rowOff>9525</xdr:rowOff>
    </xdr:from>
    <xdr:to>
      <xdr:col>4</xdr:col>
      <xdr:colOff>381000</xdr:colOff>
      <xdr:row>22</xdr:row>
      <xdr:rowOff>123825</xdr:rowOff>
    </xdr:to>
    <xdr:sp macro="" textlink="">
      <xdr:nvSpPr>
        <xdr:cNvPr id="18" name="Ovál 17"/>
        <xdr:cNvSpPr/>
      </xdr:nvSpPr>
      <xdr:spPr>
        <a:xfrm>
          <a:off x="990600" y="2809875"/>
          <a:ext cx="1704975" cy="1638300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171451</xdr:rowOff>
    </xdr:from>
    <xdr:to>
      <xdr:col>9</xdr:col>
      <xdr:colOff>561974</xdr:colOff>
      <xdr:row>15</xdr:row>
      <xdr:rowOff>142875</xdr:rowOff>
    </xdr:to>
    <xdr:sp macro="" textlink="">
      <xdr:nvSpPr>
        <xdr:cNvPr id="3" name="Ovál 2"/>
        <xdr:cNvSpPr/>
      </xdr:nvSpPr>
      <xdr:spPr>
        <a:xfrm>
          <a:off x="5067300" y="828676"/>
          <a:ext cx="2333624" cy="225742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228600</xdr:colOff>
      <xdr:row>5</xdr:row>
      <xdr:rowOff>0</xdr:rowOff>
    </xdr:from>
    <xdr:to>
      <xdr:col>4</xdr:col>
      <xdr:colOff>400050</xdr:colOff>
      <xdr:row>15</xdr:row>
      <xdr:rowOff>76200</xdr:rowOff>
    </xdr:to>
    <xdr:sp macro="" textlink="">
      <xdr:nvSpPr>
        <xdr:cNvPr id="4" name="Ovál 3"/>
        <xdr:cNvSpPr/>
      </xdr:nvSpPr>
      <xdr:spPr>
        <a:xfrm>
          <a:off x="1447800" y="1038225"/>
          <a:ext cx="2019300" cy="19812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7</xdr:col>
      <xdr:colOff>0</xdr:colOff>
      <xdr:row>12</xdr:row>
      <xdr:rowOff>0</xdr:rowOff>
    </xdr:to>
    <xdr:sp macro="" textlink="">
      <xdr:nvSpPr>
        <xdr:cNvPr id="5" name="Obdélník 4"/>
        <xdr:cNvSpPr/>
      </xdr:nvSpPr>
      <xdr:spPr>
        <a:xfrm>
          <a:off x="3676650" y="1362075"/>
          <a:ext cx="1219200" cy="1019175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7</xdr:col>
      <xdr:colOff>504825</xdr:colOff>
      <xdr:row>7</xdr:row>
      <xdr:rowOff>161925</xdr:rowOff>
    </xdr:from>
    <xdr:to>
      <xdr:col>9</xdr:col>
      <xdr:colOff>19050</xdr:colOff>
      <xdr:row>11</xdr:row>
      <xdr:rowOff>123825</xdr:rowOff>
    </xdr:to>
    <xdr:sp macro="" textlink="">
      <xdr:nvSpPr>
        <xdr:cNvPr id="6" name="Pětiúhelník 6"/>
        <xdr:cNvSpPr/>
      </xdr:nvSpPr>
      <xdr:spPr>
        <a:xfrm rot="10800000">
          <a:off x="5400675" y="1590675"/>
          <a:ext cx="1362075" cy="723900"/>
        </a:xfrm>
        <a:custGeom>
          <a:avLst/>
          <a:gdLst>
            <a:gd name="connsiteX0" fmla="*/ 0 w 1257299"/>
            <a:gd name="connsiteY0" fmla="*/ 0 h 723900"/>
            <a:gd name="connsiteX1" fmla="*/ 895349 w 1257299"/>
            <a:gd name="connsiteY1" fmla="*/ 0 h 723900"/>
            <a:gd name="connsiteX2" fmla="*/ 1257299 w 1257299"/>
            <a:gd name="connsiteY2" fmla="*/ 361950 h 723900"/>
            <a:gd name="connsiteX3" fmla="*/ 895349 w 1257299"/>
            <a:gd name="connsiteY3" fmla="*/ 723900 h 723900"/>
            <a:gd name="connsiteX4" fmla="*/ 0 w 1257299"/>
            <a:gd name="connsiteY4" fmla="*/ 723900 h 723900"/>
            <a:gd name="connsiteX5" fmla="*/ 0 w 1257299"/>
            <a:gd name="connsiteY5" fmla="*/ 0 h 723900"/>
            <a:gd name="connsiteX0" fmla="*/ 0 w 1104899"/>
            <a:gd name="connsiteY0" fmla="*/ 0 h 723900"/>
            <a:gd name="connsiteX1" fmla="*/ 895349 w 1104899"/>
            <a:gd name="connsiteY1" fmla="*/ 0 h 723900"/>
            <a:gd name="connsiteX2" fmla="*/ 1104899 w 1104899"/>
            <a:gd name="connsiteY2" fmla="*/ 352425 h 723900"/>
            <a:gd name="connsiteX3" fmla="*/ 895349 w 1104899"/>
            <a:gd name="connsiteY3" fmla="*/ 723900 h 723900"/>
            <a:gd name="connsiteX4" fmla="*/ 0 w 1104899"/>
            <a:gd name="connsiteY4" fmla="*/ 723900 h 723900"/>
            <a:gd name="connsiteX5" fmla="*/ 0 w 1104899"/>
            <a:gd name="connsiteY5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4899" h="723900">
              <a:moveTo>
                <a:pt x="0" y="0"/>
              </a:moveTo>
              <a:lnTo>
                <a:pt x="895349" y="0"/>
              </a:lnTo>
              <a:lnTo>
                <a:pt x="1104899" y="352425"/>
              </a:lnTo>
              <a:lnTo>
                <a:pt x="895349" y="723900"/>
              </a:lnTo>
              <a:lnTo>
                <a:pt x="0" y="7239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581025</xdr:colOff>
      <xdr:row>7</xdr:row>
      <xdr:rowOff>152400</xdr:rowOff>
    </xdr:from>
    <xdr:to>
      <xdr:col>4</xdr:col>
      <xdr:colOff>76201</xdr:colOff>
      <xdr:row>11</xdr:row>
      <xdr:rowOff>114300</xdr:rowOff>
    </xdr:to>
    <xdr:sp macro="" textlink="">
      <xdr:nvSpPr>
        <xdr:cNvPr id="7" name="Pětiúhelník 6"/>
        <xdr:cNvSpPr/>
      </xdr:nvSpPr>
      <xdr:spPr>
        <a:xfrm>
          <a:off x="1800225" y="1581150"/>
          <a:ext cx="1343026" cy="723900"/>
        </a:xfrm>
        <a:custGeom>
          <a:avLst/>
          <a:gdLst>
            <a:gd name="connsiteX0" fmla="*/ 0 w 1257299"/>
            <a:gd name="connsiteY0" fmla="*/ 0 h 723900"/>
            <a:gd name="connsiteX1" fmla="*/ 895349 w 1257299"/>
            <a:gd name="connsiteY1" fmla="*/ 0 h 723900"/>
            <a:gd name="connsiteX2" fmla="*/ 1257299 w 1257299"/>
            <a:gd name="connsiteY2" fmla="*/ 361950 h 723900"/>
            <a:gd name="connsiteX3" fmla="*/ 895349 w 1257299"/>
            <a:gd name="connsiteY3" fmla="*/ 723900 h 723900"/>
            <a:gd name="connsiteX4" fmla="*/ 0 w 1257299"/>
            <a:gd name="connsiteY4" fmla="*/ 723900 h 723900"/>
            <a:gd name="connsiteX5" fmla="*/ 0 w 1257299"/>
            <a:gd name="connsiteY5" fmla="*/ 0 h 723900"/>
            <a:gd name="connsiteX0" fmla="*/ 0 w 1104899"/>
            <a:gd name="connsiteY0" fmla="*/ 0 h 723900"/>
            <a:gd name="connsiteX1" fmla="*/ 895349 w 1104899"/>
            <a:gd name="connsiteY1" fmla="*/ 0 h 723900"/>
            <a:gd name="connsiteX2" fmla="*/ 1104899 w 1104899"/>
            <a:gd name="connsiteY2" fmla="*/ 352425 h 723900"/>
            <a:gd name="connsiteX3" fmla="*/ 895349 w 1104899"/>
            <a:gd name="connsiteY3" fmla="*/ 723900 h 723900"/>
            <a:gd name="connsiteX4" fmla="*/ 0 w 1104899"/>
            <a:gd name="connsiteY4" fmla="*/ 723900 h 723900"/>
            <a:gd name="connsiteX5" fmla="*/ 0 w 1104899"/>
            <a:gd name="connsiteY5" fmla="*/ 0 h 723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4899" h="723900">
              <a:moveTo>
                <a:pt x="0" y="0"/>
              </a:moveTo>
              <a:lnTo>
                <a:pt x="895349" y="0"/>
              </a:lnTo>
              <a:lnTo>
                <a:pt x="1104899" y="352425"/>
              </a:lnTo>
              <a:lnTo>
                <a:pt x="895349" y="723900"/>
              </a:lnTo>
              <a:lnTo>
                <a:pt x="0" y="723900"/>
              </a:lnTo>
              <a:lnTo>
                <a:pt x="0" y="0"/>
              </a:lnTo>
              <a:close/>
            </a:path>
          </a:pathLst>
        </a:cu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1009650</xdr:colOff>
      <xdr:row>19</xdr:row>
      <xdr:rowOff>180974</xdr:rowOff>
    </xdr:from>
    <xdr:to>
      <xdr:col>8</xdr:col>
      <xdr:colOff>238125</xdr:colOff>
      <xdr:row>27</xdr:row>
      <xdr:rowOff>76199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</xdr:row>
      <xdr:rowOff>276225</xdr:rowOff>
    </xdr:from>
    <xdr:to>
      <xdr:col>20</xdr:col>
      <xdr:colOff>408567</xdr:colOff>
      <xdr:row>20</xdr:row>
      <xdr:rowOff>37774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66725"/>
          <a:ext cx="6485517" cy="3476299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>
    <xdr:from>
      <xdr:col>16</xdr:col>
      <xdr:colOff>422849</xdr:colOff>
      <xdr:row>16</xdr:row>
      <xdr:rowOff>143018</xdr:rowOff>
    </xdr:from>
    <xdr:to>
      <xdr:col>17</xdr:col>
      <xdr:colOff>456402</xdr:colOff>
      <xdr:row>20</xdr:row>
      <xdr:rowOff>187556</xdr:rowOff>
    </xdr:to>
    <xdr:sp macro="" textlink="">
      <xdr:nvSpPr>
        <xdr:cNvPr id="34" name="Šipka doprava 33"/>
        <xdr:cNvSpPr/>
      </xdr:nvSpPr>
      <xdr:spPr>
        <a:xfrm rot="21058996">
          <a:off x="10176449" y="3143393"/>
          <a:ext cx="643153" cy="425538"/>
        </a:xfrm>
        <a:prstGeom prst="rightArrow">
          <a:avLst>
            <a:gd name="adj1" fmla="val 51789"/>
            <a:gd name="adj2" fmla="val 456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5</a:t>
          </a:r>
          <a:r>
            <a:rPr lang="cs-CZ" sz="1100"/>
            <a:t>.</a:t>
          </a:r>
        </a:p>
      </xdr:txBody>
    </xdr:sp>
    <xdr:clientData/>
  </xdr:twoCellAnchor>
  <xdr:twoCellAnchor>
    <xdr:from>
      <xdr:col>10</xdr:col>
      <xdr:colOff>448631</xdr:colOff>
      <xdr:row>6</xdr:row>
      <xdr:rowOff>29426</xdr:rowOff>
    </xdr:from>
    <xdr:to>
      <xdr:col>11</xdr:col>
      <xdr:colOff>563130</xdr:colOff>
      <xdr:row>8</xdr:row>
      <xdr:rowOff>5584</xdr:rowOff>
    </xdr:to>
    <xdr:sp macro="" textlink="">
      <xdr:nvSpPr>
        <xdr:cNvPr id="35" name="Šipka doprava 34"/>
        <xdr:cNvSpPr/>
      </xdr:nvSpPr>
      <xdr:spPr>
        <a:xfrm rot="2100433">
          <a:off x="6544631" y="1315301"/>
          <a:ext cx="724099" cy="357158"/>
        </a:xfrm>
        <a:prstGeom prst="rightArrow">
          <a:avLst>
            <a:gd name="adj1" fmla="val 78000"/>
            <a:gd name="adj2" fmla="val 680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1</a:t>
          </a:r>
          <a:r>
            <a:rPr lang="cs-CZ" sz="1100"/>
            <a:t>.</a:t>
          </a:r>
        </a:p>
      </xdr:txBody>
    </xdr:sp>
    <xdr:clientData/>
  </xdr:twoCellAnchor>
  <xdr:twoCellAnchor>
    <xdr:from>
      <xdr:col>12</xdr:col>
      <xdr:colOff>172932</xdr:colOff>
      <xdr:row>12</xdr:row>
      <xdr:rowOff>10899</xdr:rowOff>
    </xdr:from>
    <xdr:to>
      <xdr:col>13</xdr:col>
      <xdr:colOff>172932</xdr:colOff>
      <xdr:row>13</xdr:row>
      <xdr:rowOff>180660</xdr:rowOff>
    </xdr:to>
    <xdr:sp macro="" textlink="">
      <xdr:nvSpPr>
        <xdr:cNvPr id="36" name="Šipka doprava 35"/>
        <xdr:cNvSpPr/>
      </xdr:nvSpPr>
      <xdr:spPr>
        <a:xfrm rot="19667810">
          <a:off x="7488132" y="2249274"/>
          <a:ext cx="609600" cy="360261"/>
        </a:xfrm>
        <a:prstGeom prst="rightArrow">
          <a:avLst>
            <a:gd name="adj1" fmla="val 78000"/>
            <a:gd name="adj2" fmla="val 680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2</a:t>
          </a:r>
          <a:r>
            <a:rPr lang="cs-CZ" sz="1100"/>
            <a:t>.</a:t>
          </a:r>
        </a:p>
      </xdr:txBody>
    </xdr:sp>
    <xdr:clientData/>
  </xdr:twoCellAnchor>
  <xdr:twoCellAnchor>
    <xdr:from>
      <xdr:col>15</xdr:col>
      <xdr:colOff>583257</xdr:colOff>
      <xdr:row>7</xdr:row>
      <xdr:rowOff>98575</xdr:rowOff>
    </xdr:from>
    <xdr:to>
      <xdr:col>16</xdr:col>
      <xdr:colOff>583257</xdr:colOff>
      <xdr:row>9</xdr:row>
      <xdr:rowOff>77836</xdr:rowOff>
    </xdr:to>
    <xdr:sp macro="" textlink="">
      <xdr:nvSpPr>
        <xdr:cNvPr id="37" name="Šipka doprava 36"/>
        <xdr:cNvSpPr/>
      </xdr:nvSpPr>
      <xdr:spPr>
        <a:xfrm rot="2608107">
          <a:off x="9727257" y="1574950"/>
          <a:ext cx="609600" cy="360261"/>
        </a:xfrm>
        <a:prstGeom prst="rightArrow">
          <a:avLst>
            <a:gd name="adj1" fmla="val 78000"/>
            <a:gd name="adj2" fmla="val 6800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3</a:t>
          </a:r>
          <a:r>
            <a:rPr lang="cs-CZ" sz="1100"/>
            <a:t>.</a:t>
          </a:r>
        </a:p>
      </xdr:txBody>
    </xdr:sp>
    <xdr:clientData/>
  </xdr:twoCellAnchor>
  <xdr:twoCellAnchor>
    <xdr:from>
      <xdr:col>19</xdr:col>
      <xdr:colOff>101016</xdr:colOff>
      <xdr:row>12</xdr:row>
      <xdr:rowOff>22015</xdr:rowOff>
    </xdr:from>
    <xdr:to>
      <xdr:col>20</xdr:col>
      <xdr:colOff>101016</xdr:colOff>
      <xdr:row>14</xdr:row>
      <xdr:rowOff>1276</xdr:rowOff>
    </xdr:to>
    <xdr:sp macro="" textlink="">
      <xdr:nvSpPr>
        <xdr:cNvPr id="38" name="Šipka doprava 37"/>
        <xdr:cNvSpPr/>
      </xdr:nvSpPr>
      <xdr:spPr>
        <a:xfrm rot="316974" flipH="1">
          <a:off x="11683416" y="2260390"/>
          <a:ext cx="609600" cy="360261"/>
        </a:xfrm>
        <a:prstGeom prst="rightArrow">
          <a:avLst>
            <a:gd name="adj1" fmla="val 78000"/>
            <a:gd name="adj2" fmla="val 7087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4</a:t>
          </a:r>
          <a:r>
            <a:rPr lang="cs-CZ" sz="1100"/>
            <a:t>.</a:t>
          </a:r>
        </a:p>
      </xdr:txBody>
    </xdr:sp>
    <xdr:clientData/>
  </xdr:twoCellAnchor>
  <xdr:twoCellAnchor editAs="oneCell">
    <xdr:from>
      <xdr:col>1</xdr:col>
      <xdr:colOff>352759</xdr:colOff>
      <xdr:row>23</xdr:row>
      <xdr:rowOff>152508</xdr:rowOff>
    </xdr:from>
    <xdr:to>
      <xdr:col>5</xdr:col>
      <xdr:colOff>590550</xdr:colOff>
      <xdr:row>28</xdr:row>
      <xdr:rowOff>66675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359" y="3733908"/>
          <a:ext cx="2676191" cy="86666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chemeClr val="bg1">
              <a:lumMod val="95000"/>
            </a:schemeClr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400050</xdr:colOff>
      <xdr:row>32</xdr:row>
      <xdr:rowOff>0</xdr:rowOff>
    </xdr:from>
    <xdr:to>
      <xdr:col>6</xdr:col>
      <xdr:colOff>323479</xdr:colOff>
      <xdr:row>38</xdr:row>
      <xdr:rowOff>104619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9650" y="5305425"/>
          <a:ext cx="2971429" cy="124761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chemeClr val="bg1">
              <a:lumMod val="95000"/>
            </a:schemeClr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267402</xdr:colOff>
      <xdr:row>42</xdr:row>
      <xdr:rowOff>0</xdr:rowOff>
    </xdr:from>
    <xdr:to>
      <xdr:col>8</xdr:col>
      <xdr:colOff>0</xdr:colOff>
      <xdr:row>53</xdr:row>
      <xdr:rowOff>100999</xdr:rowOff>
    </xdr:to>
    <xdr:pic>
      <xdr:nvPicPr>
        <xdr:cNvPr id="41" name="Obrázek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7002" y="7219950"/>
          <a:ext cx="3999798" cy="2196499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chemeClr val="bg1"/>
          </a:solidFill>
        </a:ln>
        <a:effectLst>
          <a:outerShdw blurRad="50000" algn="tl" rotWithShape="0">
            <a:srgbClr val="000000">
              <a:alpha val="41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2</xdr:col>
      <xdr:colOff>390525</xdr:colOff>
      <xdr:row>64</xdr:row>
      <xdr:rowOff>142875</xdr:rowOff>
    </xdr:from>
    <xdr:to>
      <xdr:col>7</xdr:col>
      <xdr:colOff>9192</xdr:colOff>
      <xdr:row>98</xdr:row>
      <xdr:rowOff>113494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9725" y="11753850"/>
          <a:ext cx="2666667" cy="644761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chemeClr val="bg1">
              <a:lumMod val="95000"/>
            </a:schemeClr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14</xdr:col>
      <xdr:colOff>533400</xdr:colOff>
      <xdr:row>16</xdr:row>
      <xdr:rowOff>19051</xdr:rowOff>
    </xdr:from>
    <xdr:to>
      <xdr:col>15</xdr:col>
      <xdr:colOff>533400</xdr:colOff>
      <xdr:row>17</xdr:row>
      <xdr:rowOff>188812</xdr:rowOff>
    </xdr:to>
    <xdr:sp macro="" textlink="">
      <xdr:nvSpPr>
        <xdr:cNvPr id="13" name="Šipka doprava 12"/>
        <xdr:cNvSpPr/>
      </xdr:nvSpPr>
      <xdr:spPr>
        <a:xfrm rot="316974" flipH="1">
          <a:off x="9067800" y="3019426"/>
          <a:ext cx="609600" cy="360261"/>
        </a:xfrm>
        <a:prstGeom prst="rightArrow">
          <a:avLst>
            <a:gd name="adj1" fmla="val 78000"/>
            <a:gd name="adj2" fmla="val 7087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cs-CZ" sz="1400" b="1" i="0"/>
            <a:t>6</a:t>
          </a:r>
          <a:r>
            <a:rPr lang="cs-CZ" sz="1100"/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vier@inmail.cz?subject=P&#345;evodov&#233;%20pom&#283;r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4:S34"/>
  <sheetViews>
    <sheetView showGridLines="0" tabSelected="1" workbookViewId="0">
      <selection activeCell="L20" sqref="L20"/>
    </sheetView>
  </sheetViews>
  <sheetFormatPr defaultRowHeight="15" x14ac:dyDescent="0.25"/>
  <sheetData>
    <row r="4" spans="11:18" ht="18" thickBot="1" x14ac:dyDescent="0.35">
      <c r="K4" s="249" t="s">
        <v>236</v>
      </c>
      <c r="L4" s="249"/>
      <c r="M4" s="249"/>
    </row>
    <row r="5" spans="11:18" ht="15.75" thickTop="1" x14ac:dyDescent="0.25"/>
    <row r="6" spans="11:18" ht="22.5" x14ac:dyDescent="0.3">
      <c r="L6" s="250" t="s">
        <v>143</v>
      </c>
      <c r="M6" s="250"/>
      <c r="N6" s="250"/>
      <c r="O6" s="250"/>
      <c r="P6" s="250"/>
      <c r="Q6" s="250"/>
    </row>
    <row r="7" spans="11:18" ht="22.5" x14ac:dyDescent="0.3">
      <c r="L7" s="106"/>
      <c r="M7" s="107"/>
      <c r="N7" s="107"/>
      <c r="O7" s="107"/>
      <c r="P7" s="107"/>
      <c r="Q7" s="107"/>
    </row>
    <row r="8" spans="11:18" ht="22.5" x14ac:dyDescent="0.3">
      <c r="L8" s="106"/>
      <c r="M8" s="107"/>
      <c r="N8" s="107"/>
      <c r="O8" s="107"/>
      <c r="P8" s="107"/>
      <c r="Q8" s="107"/>
    </row>
    <row r="9" spans="11:18" ht="22.5" x14ac:dyDescent="0.3">
      <c r="L9" s="250" t="s">
        <v>142</v>
      </c>
      <c r="M9" s="250"/>
      <c r="N9" s="250"/>
      <c r="O9" s="250"/>
      <c r="P9" s="250"/>
      <c r="Q9" s="250"/>
    </row>
    <row r="10" spans="11:18" ht="22.5" x14ac:dyDescent="0.3">
      <c r="L10" s="106"/>
      <c r="M10" s="107"/>
      <c r="N10" s="107"/>
      <c r="O10" s="107"/>
      <c r="P10" s="107"/>
      <c r="Q10" s="107"/>
    </row>
    <row r="11" spans="11:18" ht="22.5" x14ac:dyDescent="0.3">
      <c r="L11" s="106"/>
      <c r="M11" s="107"/>
      <c r="N11" s="107"/>
      <c r="O11" s="107"/>
      <c r="P11" s="107"/>
      <c r="Q11" s="107"/>
    </row>
    <row r="12" spans="11:18" ht="22.5" x14ac:dyDescent="0.3">
      <c r="L12" s="250" t="s">
        <v>141</v>
      </c>
      <c r="M12" s="250"/>
      <c r="N12" s="250"/>
      <c r="O12" s="250"/>
      <c r="P12" s="250"/>
      <c r="Q12" s="250"/>
    </row>
    <row r="13" spans="11:18" ht="22.5" x14ac:dyDescent="0.3">
      <c r="L13" s="106"/>
      <c r="M13" s="107"/>
      <c r="N13" s="107"/>
      <c r="O13" s="107"/>
      <c r="P13" s="107"/>
      <c r="Q13" s="107"/>
    </row>
    <row r="14" spans="11:18" ht="22.5" x14ac:dyDescent="0.3">
      <c r="L14" s="106"/>
      <c r="M14" s="107"/>
      <c r="N14" s="107"/>
      <c r="O14" s="107"/>
      <c r="P14" s="107"/>
      <c r="Q14" s="107"/>
    </row>
    <row r="15" spans="11:18" ht="22.5" x14ac:dyDescent="0.3">
      <c r="L15" s="251" t="s">
        <v>173</v>
      </c>
      <c r="M15" s="251"/>
      <c r="N15" s="251"/>
      <c r="O15" s="251"/>
      <c r="P15" s="251"/>
      <c r="Q15" s="251"/>
      <c r="R15" s="251"/>
    </row>
    <row r="18" spans="2:19" ht="22.5" x14ac:dyDescent="0.3">
      <c r="L18" s="294" t="s">
        <v>153</v>
      </c>
      <c r="M18" s="294"/>
      <c r="N18" s="294"/>
      <c r="O18" s="294"/>
      <c r="P18" s="294"/>
      <c r="Q18" s="294"/>
    </row>
    <row r="25" spans="2:19" ht="15.75" x14ac:dyDescent="0.3">
      <c r="M25" s="295" t="s">
        <v>296</v>
      </c>
    </row>
    <row r="27" spans="2:19" x14ac:dyDescent="0.25">
      <c r="M27" t="s">
        <v>67</v>
      </c>
    </row>
    <row r="29" spans="2:19" x14ac:dyDescent="0.25">
      <c r="B29" t="s">
        <v>280</v>
      </c>
    </row>
    <row r="30" spans="2:19" x14ac:dyDescent="0.25">
      <c r="B30" t="s">
        <v>279</v>
      </c>
      <c r="M30" t="s">
        <v>233</v>
      </c>
    </row>
    <row r="31" spans="2:19" x14ac:dyDescent="0.25">
      <c r="M31" s="248" t="s">
        <v>234</v>
      </c>
      <c r="N31" s="248"/>
      <c r="O31" s="248"/>
      <c r="P31" s="248"/>
      <c r="Q31" s="248"/>
      <c r="R31" s="248"/>
      <c r="S31" s="248"/>
    </row>
    <row r="34" spans="2:5" x14ac:dyDescent="0.25">
      <c r="B34" t="s">
        <v>295</v>
      </c>
      <c r="E34" s="293">
        <v>41359</v>
      </c>
    </row>
  </sheetData>
  <mergeCells count="7">
    <mergeCell ref="M31:S31"/>
    <mergeCell ref="K4:M4"/>
    <mergeCell ref="L6:Q6"/>
    <mergeCell ref="L9:Q9"/>
    <mergeCell ref="L12:Q12"/>
    <mergeCell ref="L18:Q18"/>
    <mergeCell ref="L15:R15"/>
  </mergeCells>
  <hyperlinks>
    <hyperlink ref="L9" location="'2 převodovky'!A1" display="Výpočet pro 2 převodovky"/>
    <hyperlink ref="L12" location="'3 převodovky'!A1" display="Výpočet pro 2 převodovky"/>
    <hyperlink ref="L18" location="Návod!A1" display="Návod"/>
    <hyperlink ref="L15" location="'Poměr mezi nápravami'!A1" display="Výpočet mezi přední a zadní nápravou"/>
    <hyperlink ref="M31" r:id="rId1"/>
    <hyperlink ref="L6" location="'1 převodovka'!A1" display="Výpočet s 1 převodovkou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C1:AJ119"/>
  <sheetViews>
    <sheetView showGridLines="0" workbookViewId="0">
      <selection activeCell="P26" sqref="P26"/>
    </sheetView>
  </sheetViews>
  <sheetFormatPr defaultRowHeight="15" x14ac:dyDescent="0.25"/>
  <cols>
    <col min="3" max="3" width="11.85546875" customWidth="1"/>
    <col min="4" max="4" width="10.5703125" customWidth="1"/>
    <col min="6" max="6" width="10.28515625" customWidth="1"/>
    <col min="7" max="7" width="8.5703125" customWidth="1"/>
    <col min="8" max="8" width="5.85546875" customWidth="1"/>
    <col min="9" max="9" width="16.5703125" customWidth="1"/>
    <col min="11" max="11" width="16.42578125" customWidth="1"/>
    <col min="12" max="12" width="6.28515625" customWidth="1"/>
    <col min="13" max="13" width="10.140625" customWidth="1"/>
    <col min="14" max="14" width="5.85546875" customWidth="1"/>
    <col min="15" max="15" width="8.85546875" customWidth="1"/>
    <col min="16" max="16" width="12" customWidth="1"/>
    <col min="17" max="17" width="11" customWidth="1"/>
    <col min="18" max="18" width="5.5703125" customWidth="1"/>
    <col min="19" max="19" width="2.85546875" customWidth="1"/>
    <col min="20" max="20" width="12" customWidth="1"/>
    <col min="21" max="21" width="11.42578125" customWidth="1"/>
    <col min="22" max="22" width="12.42578125" customWidth="1"/>
    <col min="23" max="23" width="5.42578125" customWidth="1"/>
    <col min="25" max="25" width="7.85546875" customWidth="1"/>
    <col min="27" max="27" width="21" hidden="1" customWidth="1"/>
    <col min="28" max="28" width="12.7109375" hidden="1" customWidth="1"/>
    <col min="29" max="29" width="9.140625" hidden="1" customWidth="1"/>
    <col min="30" max="30" width="12.28515625" hidden="1" customWidth="1"/>
    <col min="31" max="36" width="9.140625" hidden="1" customWidth="1"/>
  </cols>
  <sheetData>
    <row r="1" spans="3:36" x14ac:dyDescent="0.25">
      <c r="L1" s="53"/>
      <c r="M1" s="14"/>
      <c r="N1" s="14"/>
      <c r="S1" s="53"/>
    </row>
    <row r="2" spans="3:36" ht="23.25" thickBot="1" x14ac:dyDescent="0.35">
      <c r="G2" s="89" t="s">
        <v>143</v>
      </c>
      <c r="H2" s="89"/>
      <c r="L2" s="53"/>
      <c r="M2" s="14"/>
      <c r="N2" s="14"/>
      <c r="S2" s="53"/>
    </row>
    <row r="3" spans="3:36" ht="16.5" thickBot="1" x14ac:dyDescent="0.3">
      <c r="L3" s="53"/>
      <c r="M3" s="14"/>
      <c r="N3" s="14"/>
      <c r="S3" s="53"/>
      <c r="AA3" s="1"/>
      <c r="AB3" s="2"/>
      <c r="AC3" s="166" t="s">
        <v>1</v>
      </c>
      <c r="AD3" s="2"/>
      <c r="AE3" s="2"/>
      <c r="AF3" s="2"/>
      <c r="AG3" s="3"/>
      <c r="AI3" s="122" t="s">
        <v>63</v>
      </c>
      <c r="AJ3" s="123"/>
    </row>
    <row r="4" spans="3:36" x14ac:dyDescent="0.25">
      <c r="L4" s="53"/>
      <c r="M4" s="14"/>
      <c r="N4" s="14"/>
      <c r="S4" s="53"/>
      <c r="AA4" s="50" t="s">
        <v>2</v>
      </c>
      <c r="AB4" s="51" t="s">
        <v>3</v>
      </c>
      <c r="AC4" s="51" t="s">
        <v>4</v>
      </c>
      <c r="AD4" s="51" t="s">
        <v>5</v>
      </c>
      <c r="AE4" s="51" t="s">
        <v>6</v>
      </c>
      <c r="AF4" s="51" t="s">
        <v>7</v>
      </c>
      <c r="AG4" s="67" t="s">
        <v>8</v>
      </c>
      <c r="AI4" s="17"/>
      <c r="AJ4" s="13"/>
    </row>
    <row r="5" spans="3:36" x14ac:dyDescent="0.25">
      <c r="L5" s="53"/>
      <c r="M5" s="14"/>
      <c r="N5" s="14"/>
      <c r="S5" s="53"/>
      <c r="AA5" s="4"/>
      <c r="AB5" s="5"/>
      <c r="AC5" s="5"/>
      <c r="AD5" s="5"/>
      <c r="AE5" s="5"/>
      <c r="AF5" s="5"/>
      <c r="AG5" s="6"/>
      <c r="AI5" s="16">
        <v>500</v>
      </c>
      <c r="AJ5" s="13">
        <v>500</v>
      </c>
    </row>
    <row r="6" spans="3:36" ht="15.75" thickBot="1" x14ac:dyDescent="0.3">
      <c r="L6" s="53"/>
      <c r="M6" s="14"/>
      <c r="N6" s="254" t="s">
        <v>147</v>
      </c>
      <c r="O6" s="254"/>
      <c r="P6" s="254"/>
      <c r="Q6" s="254"/>
      <c r="S6" s="53"/>
      <c r="AA6" s="7" t="s">
        <v>33</v>
      </c>
      <c r="AB6" s="8">
        <v>1</v>
      </c>
      <c r="AC6" s="8">
        <v>1</v>
      </c>
      <c r="AD6" s="8">
        <v>1</v>
      </c>
      <c r="AE6" s="9">
        <v>1</v>
      </c>
      <c r="AF6" s="9">
        <v>1</v>
      </c>
      <c r="AG6" s="10">
        <v>1</v>
      </c>
      <c r="AI6" s="16">
        <v>600</v>
      </c>
      <c r="AJ6" s="13">
        <v>600</v>
      </c>
    </row>
    <row r="7" spans="3:36" x14ac:dyDescent="0.25">
      <c r="L7" s="53"/>
      <c r="M7" s="14"/>
      <c r="S7" s="53"/>
      <c r="U7" s="27"/>
      <c r="V7" s="27"/>
      <c r="W7" s="27"/>
      <c r="X7" s="27"/>
      <c r="Y7" s="27"/>
      <c r="Z7" s="27"/>
      <c r="AA7" s="11" t="s">
        <v>25</v>
      </c>
      <c r="AB7" s="9">
        <f>P9</f>
        <v>5.2</v>
      </c>
      <c r="AC7" s="9">
        <f>P10</f>
        <v>3.7</v>
      </c>
      <c r="AD7" s="9">
        <f>P11</f>
        <v>2.2000000000000002</v>
      </c>
      <c r="AE7" s="9">
        <f>P12</f>
        <v>1.8</v>
      </c>
      <c r="AF7" s="9">
        <f>P13</f>
        <v>1</v>
      </c>
      <c r="AG7" s="12">
        <f>P14</f>
        <v>5</v>
      </c>
      <c r="AI7" s="16">
        <v>700</v>
      </c>
      <c r="AJ7" s="13">
        <v>700</v>
      </c>
    </row>
    <row r="8" spans="3:36" x14ac:dyDescent="0.25">
      <c r="I8" s="14"/>
      <c r="L8" s="53"/>
      <c r="M8" s="14"/>
      <c r="N8" s="14"/>
      <c r="O8" s="161" t="s">
        <v>25</v>
      </c>
      <c r="P8" s="161"/>
      <c r="Q8" s="161"/>
      <c r="S8" s="53"/>
      <c r="T8" s="288" t="s">
        <v>71</v>
      </c>
      <c r="U8" s="289"/>
      <c r="V8" s="292" t="s">
        <v>174</v>
      </c>
      <c r="W8" s="288" t="s">
        <v>0</v>
      </c>
      <c r="X8" s="290"/>
      <c r="Y8" s="289"/>
      <c r="AA8" s="141" t="s">
        <v>39</v>
      </c>
      <c r="AB8" s="142">
        <v>4.79</v>
      </c>
      <c r="AC8" s="142">
        <v>2.68</v>
      </c>
      <c r="AD8" s="143">
        <v>1.6539999999999999</v>
      </c>
      <c r="AE8" s="143">
        <v>1</v>
      </c>
      <c r="AF8" s="143">
        <v>99999</v>
      </c>
      <c r="AG8" s="144">
        <v>5.61</v>
      </c>
      <c r="AH8" s="137"/>
      <c r="AI8" s="16">
        <v>800</v>
      </c>
      <c r="AJ8" s="13">
        <v>800</v>
      </c>
    </row>
    <row r="9" spans="3:36" x14ac:dyDescent="0.25">
      <c r="D9" s="27" t="s">
        <v>68</v>
      </c>
      <c r="E9" s="27"/>
      <c r="I9" s="14"/>
      <c r="L9" s="53"/>
      <c r="M9" s="14"/>
      <c r="N9" s="14"/>
      <c r="O9" s="220" t="s">
        <v>27</v>
      </c>
      <c r="P9" s="206">
        <v>5.2</v>
      </c>
      <c r="Q9" t="s">
        <v>102</v>
      </c>
      <c r="S9" s="53"/>
      <c r="T9" s="291" t="s">
        <v>27</v>
      </c>
      <c r="U9" s="291">
        <f>VLOOKUP(F13,AA6:AG55,2,FALSE)</f>
        <v>3.4620000000000002</v>
      </c>
      <c r="V9" s="291">
        <f>VLOOKUP(F20,AD90:AE94,2,FALSE)</f>
        <v>2</v>
      </c>
      <c r="W9" s="218"/>
      <c r="X9" s="291" t="s">
        <v>129</v>
      </c>
      <c r="Y9" s="291" t="s">
        <v>64</v>
      </c>
      <c r="AA9" s="125" t="s">
        <v>16</v>
      </c>
      <c r="AB9" s="138">
        <v>4.3760000000000003</v>
      </c>
      <c r="AC9" s="138">
        <v>2.4550000000000001</v>
      </c>
      <c r="AD9" s="138">
        <v>1.5144</v>
      </c>
      <c r="AE9" s="137">
        <v>1</v>
      </c>
      <c r="AF9" s="137">
        <v>99999</v>
      </c>
      <c r="AG9" s="126">
        <v>3.66</v>
      </c>
      <c r="AH9" s="139"/>
      <c r="AI9" s="16">
        <v>900</v>
      </c>
      <c r="AJ9" s="13">
        <v>900</v>
      </c>
    </row>
    <row r="10" spans="3:36" x14ac:dyDescent="0.25">
      <c r="L10" s="53"/>
      <c r="M10" s="14"/>
      <c r="N10" s="14"/>
      <c r="O10" s="15" t="s">
        <v>28</v>
      </c>
      <c r="P10" s="206">
        <v>3.7</v>
      </c>
      <c r="Q10" t="s">
        <v>102</v>
      </c>
      <c r="S10" s="53"/>
      <c r="T10" s="291" t="s">
        <v>28</v>
      </c>
      <c r="U10" s="291">
        <f>VLOOKUP(F13,AA6:AG55,3,FALSE)</f>
        <v>1.9570000000000001</v>
      </c>
      <c r="V10" s="218"/>
      <c r="W10" s="291" t="s">
        <v>79</v>
      </c>
      <c r="X10" s="291">
        <f>VLOOKUP(D11,AI5:AJ20,2,FALSE)</f>
        <v>900</v>
      </c>
      <c r="Y10" s="291">
        <f>X10/60</f>
        <v>15</v>
      </c>
      <c r="AA10" s="125" t="s">
        <v>17</v>
      </c>
      <c r="AB10" s="138">
        <v>4.92</v>
      </c>
      <c r="AC10" s="138">
        <v>2.6819999999999999</v>
      </c>
      <c r="AD10" s="138">
        <v>1.6539999999999999</v>
      </c>
      <c r="AE10" s="137">
        <v>1</v>
      </c>
      <c r="AF10" s="137">
        <v>99999</v>
      </c>
      <c r="AG10" s="126">
        <v>5.08</v>
      </c>
      <c r="AH10" s="139"/>
      <c r="AI10" s="16">
        <v>1000</v>
      </c>
      <c r="AJ10" s="13">
        <v>1000</v>
      </c>
    </row>
    <row r="11" spans="3:36" x14ac:dyDescent="0.25">
      <c r="C11" s="25" t="s">
        <v>69</v>
      </c>
      <c r="D11" s="28">
        <v>900</v>
      </c>
      <c r="E11" s="26" t="s">
        <v>26</v>
      </c>
      <c r="L11" s="53"/>
      <c r="M11" s="208" t="str">
        <f>IF(F13="Vlastní převodovka","Zde přepsat -&gt;","")</f>
        <v/>
      </c>
      <c r="N11" s="159"/>
      <c r="O11" s="15" t="s">
        <v>29</v>
      </c>
      <c r="P11" s="206">
        <v>2.2000000000000002</v>
      </c>
      <c r="Q11" t="s">
        <v>102</v>
      </c>
      <c r="S11" s="53"/>
      <c r="T11" s="291" t="s">
        <v>29</v>
      </c>
      <c r="U11" s="291">
        <f>VLOOKUP(F13,AA6:AG55,4,FALSE)</f>
        <v>1.31</v>
      </c>
      <c r="V11" s="222"/>
      <c r="W11" s="291" t="s">
        <v>66</v>
      </c>
      <c r="X11" s="291">
        <f>VLOOKUP(D12,AI20:AJ100,2,FALSE)</f>
        <v>5500</v>
      </c>
      <c r="Y11" s="291">
        <f>X11/60</f>
        <v>91.666666666666671</v>
      </c>
      <c r="AA11" s="141" t="s">
        <v>206</v>
      </c>
      <c r="AB11" s="142">
        <v>5.6</v>
      </c>
      <c r="AC11" s="142">
        <v>2.6</v>
      </c>
      <c r="AD11" s="143">
        <v>1.4</v>
      </c>
      <c r="AE11" s="143">
        <v>1</v>
      </c>
      <c r="AF11" s="143">
        <v>99999</v>
      </c>
      <c r="AG11" s="144">
        <v>6.1</v>
      </c>
      <c r="AH11" s="137"/>
      <c r="AI11" s="16">
        <v>1100</v>
      </c>
      <c r="AJ11" s="13">
        <v>1100</v>
      </c>
    </row>
    <row r="12" spans="3:36" x14ac:dyDescent="0.25">
      <c r="C12" s="25" t="s">
        <v>70</v>
      </c>
      <c r="D12" s="28">
        <v>5500</v>
      </c>
      <c r="E12" s="26" t="s">
        <v>26</v>
      </c>
      <c r="F12" s="258" t="s">
        <v>72</v>
      </c>
      <c r="G12" s="258"/>
      <c r="H12" s="258"/>
      <c r="I12" s="27"/>
      <c r="L12" s="53"/>
      <c r="M12" s="9"/>
      <c r="N12" s="40"/>
      <c r="O12" s="15" t="s">
        <v>30</v>
      </c>
      <c r="P12" s="206">
        <v>1.8</v>
      </c>
      <c r="Q12" t="s">
        <v>102</v>
      </c>
      <c r="S12" s="53"/>
      <c r="T12" s="291" t="s">
        <v>30</v>
      </c>
      <c r="U12" s="291">
        <f>VLOOKUP(F13,AA6:AG55,5,FALSE)</f>
        <v>0.97499999999999998</v>
      </c>
      <c r="V12" s="222"/>
      <c r="W12" s="222"/>
      <c r="X12" s="222"/>
      <c r="Y12" s="222"/>
      <c r="AA12" s="141" t="s">
        <v>265</v>
      </c>
      <c r="AB12" s="142">
        <v>6.2679999999999998</v>
      </c>
      <c r="AC12" s="142">
        <v>3.4359999999999999</v>
      </c>
      <c r="AD12" s="143">
        <v>2.0150000000000001</v>
      </c>
      <c r="AE12" s="143">
        <v>1.393</v>
      </c>
      <c r="AF12" s="143">
        <v>1</v>
      </c>
      <c r="AG12" s="144">
        <v>5.5709999999999997</v>
      </c>
      <c r="AH12" s="137"/>
      <c r="AI12" s="16">
        <v>1200</v>
      </c>
      <c r="AJ12" s="13">
        <v>1200</v>
      </c>
    </row>
    <row r="13" spans="3:36" x14ac:dyDescent="0.25">
      <c r="F13" s="255" t="s">
        <v>93</v>
      </c>
      <c r="G13" s="256"/>
      <c r="H13" s="257"/>
      <c r="I13" s="30" t="s">
        <v>73</v>
      </c>
      <c r="L13" s="53"/>
      <c r="M13" s="14"/>
      <c r="N13" s="14"/>
      <c r="O13" s="15" t="s">
        <v>31</v>
      </c>
      <c r="P13" s="206">
        <v>1</v>
      </c>
      <c r="Q13" t="s">
        <v>102</v>
      </c>
      <c r="S13" s="53"/>
      <c r="T13" s="291" t="s">
        <v>31</v>
      </c>
      <c r="U13" s="291">
        <f>VLOOKUP(F13,AA6:AG55,6,FALSE)</f>
        <v>0.75600000000000001</v>
      </c>
      <c r="V13" s="222"/>
      <c r="W13" s="222"/>
      <c r="X13" s="222"/>
      <c r="Y13" s="222"/>
      <c r="AA13" s="141" t="s">
        <v>207</v>
      </c>
      <c r="AB13" s="142">
        <v>5.4</v>
      </c>
      <c r="AC13" s="142">
        <v>3.1</v>
      </c>
      <c r="AD13" s="143">
        <v>2</v>
      </c>
      <c r="AE13" s="143">
        <v>1.4</v>
      </c>
      <c r="AF13" s="143">
        <v>1</v>
      </c>
      <c r="AG13" s="144">
        <v>4.8</v>
      </c>
      <c r="AH13" s="137"/>
      <c r="AI13" s="16">
        <v>1300</v>
      </c>
      <c r="AJ13" s="13">
        <v>1300</v>
      </c>
    </row>
    <row r="14" spans="3:36" x14ac:dyDescent="0.25">
      <c r="F14" s="30" t="s">
        <v>244</v>
      </c>
      <c r="G14" s="262" t="s">
        <v>270</v>
      </c>
      <c r="H14" s="262"/>
      <c r="I14" s="31" t="s">
        <v>202</v>
      </c>
      <c r="L14" s="53"/>
      <c r="M14" s="14"/>
      <c r="N14" s="14"/>
      <c r="O14" s="15" t="s">
        <v>32</v>
      </c>
      <c r="P14" s="206">
        <v>5</v>
      </c>
      <c r="Q14" s="24" t="s">
        <v>102</v>
      </c>
      <c r="S14" s="53"/>
      <c r="T14" s="291" t="s">
        <v>32</v>
      </c>
      <c r="U14" s="291">
        <f>VLOOKUP(F13,AA6:AG55,7,FALSE)</f>
        <v>2.923</v>
      </c>
      <c r="V14" s="222"/>
      <c r="W14" s="222"/>
      <c r="X14" s="222"/>
      <c r="Y14" s="222"/>
      <c r="AA14" s="141" t="s">
        <v>208</v>
      </c>
      <c r="AB14" s="142">
        <v>6.27</v>
      </c>
      <c r="AC14" s="142">
        <v>3.44</v>
      </c>
      <c r="AD14" s="143">
        <v>2.2000000000000002</v>
      </c>
      <c r="AE14" s="143">
        <v>1.39</v>
      </c>
      <c r="AF14" s="143">
        <v>1</v>
      </c>
      <c r="AG14" s="144">
        <v>5.57</v>
      </c>
      <c r="AH14" s="137"/>
      <c r="AI14" s="16">
        <v>1400</v>
      </c>
      <c r="AJ14" s="13">
        <v>1400</v>
      </c>
    </row>
    <row r="15" spans="3:36" x14ac:dyDescent="0.25">
      <c r="H15" s="107">
        <f>VLOOKUP(G14,AA62:AB73,2,FALSE)</f>
        <v>4.1180000000000003</v>
      </c>
      <c r="I15" s="29">
        <f>VLOOKUP(I14,AA74:AB112,2,FALSE)</f>
        <v>4.1109999999999998</v>
      </c>
      <c r="L15" s="53"/>
      <c r="M15" s="14"/>
      <c r="N15" s="14"/>
      <c r="Q15" s="24"/>
      <c r="S15" s="53"/>
      <c r="AA15" s="141" t="s">
        <v>209</v>
      </c>
      <c r="AB15" s="142">
        <v>1.7142900000000001</v>
      </c>
      <c r="AC15" s="142">
        <v>1.35714</v>
      </c>
      <c r="AD15" s="143">
        <v>1.14286</v>
      </c>
      <c r="AE15" s="143">
        <v>1</v>
      </c>
      <c r="AF15" s="143">
        <v>99999</v>
      </c>
      <c r="AG15" s="144">
        <v>99999</v>
      </c>
      <c r="AH15" s="137"/>
      <c r="AI15" s="16">
        <v>1500</v>
      </c>
      <c r="AJ15" s="13">
        <v>1500</v>
      </c>
    </row>
    <row r="16" spans="3:36" x14ac:dyDescent="0.25">
      <c r="F16" s="35"/>
      <c r="G16" s="35"/>
      <c r="H16" s="35"/>
      <c r="L16" s="53"/>
      <c r="M16" s="14"/>
      <c r="N16" s="14"/>
      <c r="O16" s="43" t="s">
        <v>88</v>
      </c>
      <c r="P16" s="43"/>
      <c r="Q16" s="43"/>
      <c r="R16" s="14"/>
      <c r="S16" s="53"/>
      <c r="T16" s="14"/>
      <c r="AA16" s="141" t="s">
        <v>209</v>
      </c>
      <c r="AB16" s="142">
        <v>3.42</v>
      </c>
      <c r="AC16" s="142">
        <v>1.84</v>
      </c>
      <c r="AD16" s="143">
        <v>1.25</v>
      </c>
      <c r="AE16" s="143">
        <v>1</v>
      </c>
      <c r="AF16" s="143">
        <v>99999</v>
      </c>
      <c r="AG16" s="144">
        <v>99999</v>
      </c>
      <c r="AH16" s="137"/>
      <c r="AI16" s="16">
        <v>1600</v>
      </c>
      <c r="AJ16" s="13">
        <v>1600</v>
      </c>
    </row>
    <row r="17" spans="4:36" x14ac:dyDescent="0.25">
      <c r="F17" s="14"/>
      <c r="G17" s="14"/>
      <c r="L17" s="53"/>
      <c r="M17" s="208" t="str">
        <f>IF(G14="Vlastní převod","Zde přepsat -&gt;","")</f>
        <v/>
      </c>
      <c r="N17" s="159"/>
      <c r="O17" s="23" t="s">
        <v>87</v>
      </c>
      <c r="P17" s="206">
        <v>3.8</v>
      </c>
      <c r="Q17" t="s">
        <v>102</v>
      </c>
      <c r="S17" s="53"/>
      <c r="T17" s="14"/>
      <c r="AA17" s="141" t="s">
        <v>210</v>
      </c>
      <c r="AB17" s="142">
        <v>5.95</v>
      </c>
      <c r="AC17" s="142">
        <v>3.7</v>
      </c>
      <c r="AD17" s="143">
        <v>1.78</v>
      </c>
      <c r="AE17" s="143">
        <v>1</v>
      </c>
      <c r="AF17" s="143">
        <v>99999</v>
      </c>
      <c r="AG17" s="144">
        <v>5.59</v>
      </c>
      <c r="AH17" s="137"/>
      <c r="AI17" s="16">
        <v>1700</v>
      </c>
      <c r="AJ17" s="13">
        <v>1700</v>
      </c>
    </row>
    <row r="18" spans="4:36" x14ac:dyDescent="0.25">
      <c r="L18" s="53"/>
      <c r="M18" s="14"/>
      <c r="N18" s="14"/>
      <c r="S18" s="53"/>
      <c r="T18" s="14"/>
      <c r="AA18" s="141" t="s">
        <v>211</v>
      </c>
      <c r="AB18" s="142">
        <v>3.25</v>
      </c>
      <c r="AC18" s="142">
        <v>2.0670000000000002</v>
      </c>
      <c r="AD18" s="143">
        <v>1.3</v>
      </c>
      <c r="AE18" s="143">
        <v>0.872</v>
      </c>
      <c r="AF18" s="143">
        <v>99999</v>
      </c>
      <c r="AG18" s="144">
        <v>4.024</v>
      </c>
      <c r="AH18" s="137"/>
      <c r="AI18" s="16">
        <v>1800</v>
      </c>
      <c r="AJ18" s="13">
        <v>1800</v>
      </c>
    </row>
    <row r="19" spans="4:36" x14ac:dyDescent="0.25">
      <c r="E19" s="263" t="s">
        <v>272</v>
      </c>
      <c r="F19" s="263"/>
      <c r="I19" s="165" t="s">
        <v>74</v>
      </c>
      <c r="L19" s="53"/>
      <c r="M19" s="14"/>
      <c r="N19" s="14"/>
      <c r="O19" s="163" t="s">
        <v>89</v>
      </c>
      <c r="P19" s="163"/>
      <c r="Q19" s="163"/>
      <c r="R19" s="110"/>
      <c r="S19" s="284"/>
      <c r="T19" s="110"/>
      <c r="AA19" s="125" t="s">
        <v>22</v>
      </c>
      <c r="AB19" s="138">
        <v>3.36</v>
      </c>
      <c r="AC19" s="137">
        <v>1.81</v>
      </c>
      <c r="AD19" s="138">
        <v>1.26</v>
      </c>
      <c r="AE19" s="137">
        <v>1</v>
      </c>
      <c r="AF19" s="137">
        <v>0.82</v>
      </c>
      <c r="AG19" s="126">
        <v>3.5</v>
      </c>
      <c r="AH19" s="139"/>
      <c r="AI19" s="16">
        <v>1900</v>
      </c>
      <c r="AJ19" s="13">
        <v>1900</v>
      </c>
    </row>
    <row r="20" spans="4:36" x14ac:dyDescent="0.25">
      <c r="E20" s="214"/>
      <c r="F20" s="206" t="s">
        <v>274</v>
      </c>
      <c r="I20" s="164" t="s">
        <v>58</v>
      </c>
      <c r="L20" s="53"/>
      <c r="M20" s="208" t="str">
        <f>IF(I14="Vlastní převod","Zde přepsat -&gt;","")</f>
        <v/>
      </c>
      <c r="N20" s="159"/>
      <c r="O20" s="22" t="s">
        <v>87</v>
      </c>
      <c r="P20" s="160">
        <v>1</v>
      </c>
      <c r="Q20" t="s">
        <v>102</v>
      </c>
      <c r="R20" s="14"/>
      <c r="S20" s="53"/>
      <c r="AA20" s="141" t="s">
        <v>212</v>
      </c>
      <c r="AB20" s="142">
        <v>3.65</v>
      </c>
      <c r="AC20" s="142">
        <v>1.97</v>
      </c>
      <c r="AD20" s="143">
        <v>1.37</v>
      </c>
      <c r="AE20" s="143">
        <v>1</v>
      </c>
      <c r="AF20" s="143">
        <v>99999</v>
      </c>
      <c r="AG20" s="144">
        <v>3.36</v>
      </c>
      <c r="AH20" s="137"/>
      <c r="AI20" s="16">
        <v>2000</v>
      </c>
      <c r="AJ20" s="13">
        <v>2000</v>
      </c>
    </row>
    <row r="21" spans="4:36" x14ac:dyDescent="0.25">
      <c r="F21" s="219" t="str">
        <f>IF(F20="jiný","Napiš ho vedle","")</f>
        <v/>
      </c>
      <c r="I21" s="36">
        <f>VLOOKUP(I20,AD62:AE85,2,FALSE)</f>
        <v>2.34</v>
      </c>
      <c r="L21" s="53"/>
      <c r="M21" s="14"/>
      <c r="N21" s="14"/>
      <c r="R21" s="14"/>
      <c r="S21" s="53"/>
      <c r="AA21" s="145" t="s">
        <v>9</v>
      </c>
      <c r="AB21" s="138">
        <v>3.1150000000000002</v>
      </c>
      <c r="AC21" s="138">
        <v>1.772</v>
      </c>
      <c r="AD21" s="138">
        <v>1</v>
      </c>
      <c r="AE21" s="137">
        <v>99999</v>
      </c>
      <c r="AF21" s="137">
        <v>99999</v>
      </c>
      <c r="AG21" s="126">
        <v>3.78</v>
      </c>
      <c r="AH21" s="139"/>
      <c r="AI21" s="16">
        <v>2100</v>
      </c>
      <c r="AJ21" s="13">
        <v>2100</v>
      </c>
    </row>
    <row r="22" spans="4:36" x14ac:dyDescent="0.25">
      <c r="J22" s="201"/>
      <c r="L22" s="53"/>
      <c r="M22" s="14"/>
      <c r="O22" s="163" t="s">
        <v>278</v>
      </c>
      <c r="P22" s="163"/>
      <c r="Q22" s="163"/>
      <c r="R22" s="110"/>
      <c r="S22" s="284"/>
      <c r="AA22" s="141" t="s">
        <v>213</v>
      </c>
      <c r="AB22" s="142">
        <v>8.6199999999999992</v>
      </c>
      <c r="AC22" s="142">
        <v>4.5599999999999996</v>
      </c>
      <c r="AD22" s="142">
        <v>2.62</v>
      </c>
      <c r="AE22" s="142">
        <v>1.59</v>
      </c>
      <c r="AF22" s="142">
        <v>1</v>
      </c>
      <c r="AG22" s="144">
        <v>6.38</v>
      </c>
      <c r="AH22" s="137"/>
      <c r="AI22" s="16">
        <v>2200</v>
      </c>
      <c r="AJ22" s="13">
        <v>2200</v>
      </c>
    </row>
    <row r="23" spans="4:36" x14ac:dyDescent="0.25">
      <c r="F23" s="215"/>
      <c r="J23" s="14"/>
      <c r="L23" s="53"/>
      <c r="M23" s="207" t="str">
        <f>IF(F20="jiný","Zde napiš poměr -&gt;","")</f>
        <v/>
      </c>
      <c r="O23" s="215" t="s">
        <v>170</v>
      </c>
      <c r="P23" s="224">
        <f>Q25/P25</f>
        <v>1.2777777777777777</v>
      </c>
      <c r="R23" s="69"/>
      <c r="S23" s="286"/>
      <c r="T23" s="21" t="str">
        <f>IF(P23=1,"zbytečný převod (1:1)","")</f>
        <v/>
      </c>
      <c r="U23" s="69"/>
      <c r="AA23" s="125" t="s">
        <v>24</v>
      </c>
      <c r="AB23" s="139">
        <v>15.667999999999999</v>
      </c>
      <c r="AC23" s="139">
        <v>8.7590000000000003</v>
      </c>
      <c r="AD23" s="139">
        <v>6.2649999999999997</v>
      </c>
      <c r="AE23" s="139">
        <v>4.9279999999999999</v>
      </c>
      <c r="AF23" s="137">
        <v>99999</v>
      </c>
      <c r="AG23" s="127">
        <v>99999</v>
      </c>
      <c r="AH23" s="139"/>
      <c r="AI23" s="16">
        <v>2300</v>
      </c>
      <c r="AJ23" s="13">
        <v>2300</v>
      </c>
    </row>
    <row r="24" spans="4:36" x14ac:dyDescent="0.25">
      <c r="L24" s="53"/>
      <c r="M24" s="14"/>
      <c r="P24" t="s">
        <v>281</v>
      </c>
      <c r="S24" s="53"/>
      <c r="AA24" s="125" t="s">
        <v>13</v>
      </c>
      <c r="AB24" s="138">
        <v>3.92</v>
      </c>
      <c r="AC24" s="138">
        <v>2.2599999999999998</v>
      </c>
      <c r="AD24" s="138">
        <v>1.44</v>
      </c>
      <c r="AE24" s="138">
        <v>0.97</v>
      </c>
      <c r="AF24" s="137">
        <v>99999</v>
      </c>
      <c r="AG24" s="126">
        <v>3.63</v>
      </c>
      <c r="AH24" s="139"/>
      <c r="AI24" s="16">
        <v>2400</v>
      </c>
      <c r="AJ24" s="13">
        <v>2400</v>
      </c>
    </row>
    <row r="25" spans="4:36" x14ac:dyDescent="0.25">
      <c r="L25" s="53"/>
      <c r="M25" s="207" t="str">
        <f>IF(F20="jiný","Nebo zde počet zubů -&gt;","")</f>
        <v/>
      </c>
      <c r="P25" s="206">
        <v>18</v>
      </c>
      <c r="Q25" s="206">
        <v>23</v>
      </c>
      <c r="S25" s="53"/>
      <c r="T25" s="21" t="str">
        <f>IF(P25&gt;Q25,"zrychlující poměr !","")</f>
        <v/>
      </c>
      <c r="AA25" s="141" t="s">
        <v>214</v>
      </c>
      <c r="AB25" s="142">
        <v>6.157</v>
      </c>
      <c r="AC25" s="142">
        <v>3.1480000000000001</v>
      </c>
      <c r="AD25" s="143">
        <v>1.7430000000000001</v>
      </c>
      <c r="AE25" s="143">
        <v>1.278</v>
      </c>
      <c r="AF25" s="143">
        <v>1</v>
      </c>
      <c r="AG25" s="144">
        <v>99999</v>
      </c>
      <c r="AH25" s="137"/>
      <c r="AI25" s="16">
        <v>2500</v>
      </c>
      <c r="AJ25" s="13">
        <v>2500</v>
      </c>
    </row>
    <row r="26" spans="4:36" ht="15.75" thickBot="1" x14ac:dyDescent="0.3">
      <c r="D26" s="254" t="s">
        <v>145</v>
      </c>
      <c r="E26" s="254"/>
      <c r="F26" s="254"/>
      <c r="G26" s="254"/>
      <c r="L26" s="53"/>
      <c r="P26" s="215" t="s">
        <v>170</v>
      </c>
      <c r="Q26" s="225">
        <f>Q25/P25</f>
        <v>1.2777777777777777</v>
      </c>
      <c r="S26" s="53"/>
      <c r="AA26" s="141" t="s">
        <v>215</v>
      </c>
      <c r="AB26" s="142">
        <v>6.71</v>
      </c>
      <c r="AC26" s="142">
        <v>3.242</v>
      </c>
      <c r="AD26" s="143">
        <v>2.1920000000000002</v>
      </c>
      <c r="AE26" s="143">
        <v>1.4670000000000001</v>
      </c>
      <c r="AF26" s="143">
        <v>1</v>
      </c>
      <c r="AG26" s="144">
        <v>5.6349999999999998</v>
      </c>
      <c r="AH26" s="137"/>
      <c r="AI26" s="16">
        <v>2600</v>
      </c>
      <c r="AJ26" s="13">
        <v>2600</v>
      </c>
    </row>
    <row r="27" spans="4:36" x14ac:dyDescent="0.25">
      <c r="L27" s="53"/>
      <c r="S27" s="53"/>
      <c r="AA27" s="141" t="s">
        <v>200</v>
      </c>
      <c r="AB27" s="142">
        <v>3.9</v>
      </c>
      <c r="AC27" s="142">
        <v>2.2999999999999998</v>
      </c>
      <c r="AD27" s="143">
        <v>1.41</v>
      </c>
      <c r="AE27" s="143">
        <v>1</v>
      </c>
      <c r="AF27" s="143">
        <v>99999</v>
      </c>
      <c r="AG27" s="144">
        <v>3.66</v>
      </c>
      <c r="AH27" s="137"/>
      <c r="AI27" s="16">
        <v>2700</v>
      </c>
      <c r="AJ27" s="13">
        <v>2700</v>
      </c>
    </row>
    <row r="28" spans="4:36" ht="15.75" x14ac:dyDescent="0.25">
      <c r="D28" s="82" t="s">
        <v>75</v>
      </c>
      <c r="E28" s="82"/>
      <c r="F28" s="181">
        <f>(Y10/I35)*I21*3.59999712</f>
        <v>1.0779990832815403</v>
      </c>
      <c r="G28" s="82" t="s">
        <v>65</v>
      </c>
      <c r="L28" s="53"/>
      <c r="M28" s="216"/>
      <c r="N28" s="14"/>
      <c r="O28" s="49" t="s">
        <v>91</v>
      </c>
      <c r="P28" s="49"/>
      <c r="Q28" s="49"/>
      <c r="S28" s="53"/>
      <c r="AA28" s="141" t="s">
        <v>216</v>
      </c>
      <c r="AB28" s="142">
        <v>6</v>
      </c>
      <c r="AC28" s="142">
        <v>3.25</v>
      </c>
      <c r="AD28" s="143">
        <v>1.75</v>
      </c>
      <c r="AE28" s="143">
        <v>1.25</v>
      </c>
      <c r="AF28" s="143">
        <v>1</v>
      </c>
      <c r="AG28" s="144">
        <v>5</v>
      </c>
      <c r="AH28" s="137"/>
      <c r="AI28" s="16">
        <v>2800</v>
      </c>
      <c r="AJ28" s="13">
        <v>2800</v>
      </c>
    </row>
    <row r="29" spans="4:36" ht="15.75" x14ac:dyDescent="0.25">
      <c r="D29" s="82" t="s">
        <v>76</v>
      </c>
      <c r="E29" s="82"/>
      <c r="F29" s="181">
        <f>MAX(G35:G39)</f>
        <v>30.167813851798662</v>
      </c>
      <c r="G29" s="82" t="s">
        <v>65</v>
      </c>
      <c r="K29" s="14"/>
      <c r="L29" s="53"/>
      <c r="M29" s="208" t="str">
        <f>IF(I20="Vlastní rozměr","Zde přepsat -&gt;","")</f>
        <v/>
      </c>
      <c r="N29" s="208"/>
      <c r="O29" t="s">
        <v>114</v>
      </c>
      <c r="P29" s="52">
        <f>PI()*((2*(P31*P32/100))+(25.4*P33))/1000</f>
        <v>1.8095573684677209</v>
      </c>
      <c r="Q29" t="s">
        <v>92</v>
      </c>
      <c r="S29" s="53"/>
      <c r="AA29" s="141" t="s">
        <v>217</v>
      </c>
      <c r="AB29" s="142">
        <v>3.92</v>
      </c>
      <c r="AC29" s="142">
        <v>2.2599999999999998</v>
      </c>
      <c r="AD29" s="143">
        <v>1.44</v>
      </c>
      <c r="AE29" s="143">
        <v>0.96</v>
      </c>
      <c r="AF29" s="143">
        <v>99999</v>
      </c>
      <c r="AG29" s="144">
        <v>99999</v>
      </c>
      <c r="AH29" s="137"/>
      <c r="AI29" s="16">
        <v>2900</v>
      </c>
      <c r="AJ29" s="13">
        <v>2900</v>
      </c>
    </row>
    <row r="30" spans="4:36" x14ac:dyDescent="0.25">
      <c r="D30" s="20"/>
      <c r="E30" s="20"/>
      <c r="F30" s="20"/>
      <c r="K30" s="14"/>
      <c r="L30" s="53"/>
      <c r="M30" s="14"/>
      <c r="N30" s="14"/>
      <c r="S30" s="53"/>
      <c r="AA30" s="125" t="s">
        <v>23</v>
      </c>
      <c r="AB30" s="139">
        <v>3.1150000000000002</v>
      </c>
      <c r="AC30" s="139">
        <v>1.772</v>
      </c>
      <c r="AD30" s="139">
        <v>1</v>
      </c>
      <c r="AE30" s="137">
        <v>99999</v>
      </c>
      <c r="AF30" s="137">
        <v>99999</v>
      </c>
      <c r="AG30" s="146">
        <v>3.738</v>
      </c>
      <c r="AH30" s="139"/>
      <c r="AI30" s="16">
        <v>3000</v>
      </c>
      <c r="AJ30" s="13">
        <v>3000</v>
      </c>
    </row>
    <row r="31" spans="4:36" x14ac:dyDescent="0.25">
      <c r="K31" s="14"/>
      <c r="L31" s="53"/>
      <c r="M31" s="208" t="str">
        <f>IF(I20="Vlastní rozměr","Nebo zde  -&gt;","")</f>
        <v/>
      </c>
      <c r="N31" s="208"/>
      <c r="O31" t="s">
        <v>96</v>
      </c>
      <c r="P31" s="44">
        <v>195</v>
      </c>
      <c r="Q31" t="s">
        <v>98</v>
      </c>
      <c r="S31" s="53"/>
      <c r="AA31" s="141" t="s">
        <v>218</v>
      </c>
      <c r="AB31" s="142">
        <v>6.27</v>
      </c>
      <c r="AC31" s="142">
        <v>3.44</v>
      </c>
      <c r="AD31" s="143">
        <v>2.2000000000000002</v>
      </c>
      <c r="AE31" s="143">
        <v>1.39</v>
      </c>
      <c r="AF31" s="143">
        <v>1</v>
      </c>
      <c r="AG31" s="144">
        <v>5.57</v>
      </c>
      <c r="AH31" s="137"/>
      <c r="AI31" s="16">
        <v>3100</v>
      </c>
      <c r="AJ31" s="13">
        <v>3100</v>
      </c>
    </row>
    <row r="32" spans="4:36" ht="15.75" thickBot="1" x14ac:dyDescent="0.3">
      <c r="D32" s="254" t="s">
        <v>146</v>
      </c>
      <c r="E32" s="254"/>
      <c r="F32" s="254"/>
      <c r="G32" s="254"/>
      <c r="H32" s="254"/>
      <c r="I32" s="254"/>
      <c r="J32" s="254"/>
      <c r="K32" s="14"/>
      <c r="L32" s="53"/>
      <c r="M32" s="14"/>
      <c r="N32" s="14"/>
      <c r="O32" t="s">
        <v>95</v>
      </c>
      <c r="P32" s="44">
        <v>50</v>
      </c>
      <c r="Q32" t="s">
        <v>99</v>
      </c>
      <c r="S32" s="53"/>
      <c r="AA32" s="141" t="s">
        <v>219</v>
      </c>
      <c r="AB32" s="142">
        <v>7.54</v>
      </c>
      <c r="AC32" s="142">
        <v>4.51</v>
      </c>
      <c r="AD32" s="143">
        <v>2.79</v>
      </c>
      <c r="AE32" s="143">
        <v>1.81</v>
      </c>
      <c r="AF32" s="143">
        <v>1.33</v>
      </c>
      <c r="AG32" s="144">
        <v>7.7</v>
      </c>
      <c r="AH32" s="137"/>
      <c r="AI32" s="16">
        <v>3200</v>
      </c>
      <c r="AJ32" s="13">
        <v>3200</v>
      </c>
    </row>
    <row r="33" spans="4:36" x14ac:dyDescent="0.25">
      <c r="K33" s="14"/>
      <c r="L33" s="53"/>
      <c r="M33" s="14"/>
      <c r="N33" s="14"/>
      <c r="O33" t="s">
        <v>97</v>
      </c>
      <c r="P33" s="44">
        <v>15</v>
      </c>
      <c r="Q33" t="s">
        <v>100</v>
      </c>
      <c r="S33" s="53"/>
      <c r="AA33" s="141" t="s">
        <v>220</v>
      </c>
      <c r="AB33" s="142">
        <v>5.5</v>
      </c>
      <c r="AC33" s="142">
        <v>3.2</v>
      </c>
      <c r="AD33" s="143">
        <v>2</v>
      </c>
      <c r="AE33" s="143">
        <v>0.9</v>
      </c>
      <c r="AF33" s="143">
        <v>99999</v>
      </c>
      <c r="AG33" s="144">
        <v>7.3</v>
      </c>
      <c r="AH33" s="137"/>
      <c r="AI33" s="16">
        <v>3300</v>
      </c>
      <c r="AJ33" s="13">
        <v>3300</v>
      </c>
    </row>
    <row r="34" spans="4:36" ht="15.75" thickBot="1" x14ac:dyDescent="0.3">
      <c r="D34" s="162" t="s">
        <v>82</v>
      </c>
      <c r="E34" s="264" t="s">
        <v>80</v>
      </c>
      <c r="F34" s="265"/>
      <c r="G34" s="264" t="s">
        <v>81</v>
      </c>
      <c r="H34" s="265"/>
      <c r="I34" s="264" t="s">
        <v>78</v>
      </c>
      <c r="J34" s="266"/>
      <c r="K34" s="14"/>
      <c r="L34" s="53"/>
      <c r="M34" s="14"/>
      <c r="N34" s="14"/>
      <c r="O34" t="s">
        <v>177</v>
      </c>
      <c r="P34" s="36">
        <f>PI()*((2*(P31*P32/100))+(25.4*P33))/1000</f>
        <v>1.8095573684677209</v>
      </c>
      <c r="Q34" t="s">
        <v>92</v>
      </c>
      <c r="S34" s="53"/>
      <c r="AA34" s="141" t="s">
        <v>221</v>
      </c>
      <c r="AB34" s="142">
        <v>5.95</v>
      </c>
      <c r="AC34" s="142">
        <v>3.7</v>
      </c>
      <c r="AD34" s="143">
        <v>1.78</v>
      </c>
      <c r="AE34" s="143">
        <v>1</v>
      </c>
      <c r="AF34" s="143">
        <v>99999</v>
      </c>
      <c r="AG34" s="144">
        <v>5.59</v>
      </c>
      <c r="AH34" s="137"/>
      <c r="AI34" s="16">
        <v>3400</v>
      </c>
      <c r="AJ34" s="13">
        <v>3400</v>
      </c>
    </row>
    <row r="35" spans="4:36" x14ac:dyDescent="0.25">
      <c r="D35" s="15" t="s">
        <v>27</v>
      </c>
      <c r="E35" s="183">
        <f>(Y10/(U9*H15*I15*V9))*I21*3.59999712</f>
        <v>1.0779990832815403</v>
      </c>
      <c r="F35" s="33" t="s">
        <v>65</v>
      </c>
      <c r="G35" s="58">
        <f>(Y11/(U9*H15*I15*V9))*I21*3.59999712</f>
        <v>6.5877721756094143</v>
      </c>
      <c r="H35" t="s">
        <v>65</v>
      </c>
      <c r="I35" s="182">
        <f>U9*H15*I15*V9</f>
        <v>117.217074552</v>
      </c>
      <c r="J35" s="14" t="s">
        <v>102</v>
      </c>
      <c r="K35" s="14"/>
      <c r="L35" s="53"/>
      <c r="S35" s="53"/>
      <c r="AA35" s="141" t="s">
        <v>222</v>
      </c>
      <c r="AB35" s="142">
        <v>4.5</v>
      </c>
      <c r="AC35" s="142">
        <v>2.75</v>
      </c>
      <c r="AD35" s="143">
        <v>1.7</v>
      </c>
      <c r="AE35" s="143">
        <v>1.1499999999999999</v>
      </c>
      <c r="AF35" s="143">
        <v>99999</v>
      </c>
      <c r="AG35" s="144">
        <v>4.25</v>
      </c>
      <c r="AH35" s="137"/>
      <c r="AI35" s="16">
        <v>3500</v>
      </c>
      <c r="AJ35" s="13">
        <v>3500</v>
      </c>
    </row>
    <row r="36" spans="4:36" x14ac:dyDescent="0.25">
      <c r="D36" s="15" t="s">
        <v>28</v>
      </c>
      <c r="E36" s="184">
        <f>(Y10/(U10*H15*I15*V9))*I21*3.59999712</f>
        <v>1.9070172847831846</v>
      </c>
      <c r="F36" s="33" t="s">
        <v>65</v>
      </c>
      <c r="G36" s="58">
        <f>(Y11/(U10*H15*I15*V9))*I21*3.59999712</f>
        <v>11.653994518119465</v>
      </c>
      <c r="H36" t="s">
        <v>65</v>
      </c>
      <c r="I36" s="182">
        <f>U10*H15*I15*V9</f>
        <v>66.260489572000012</v>
      </c>
      <c r="J36" s="14" t="s">
        <v>102</v>
      </c>
      <c r="K36" s="14"/>
      <c r="L36" s="53"/>
      <c r="S36" s="53"/>
      <c r="AA36" s="125" t="s">
        <v>107</v>
      </c>
      <c r="AB36" s="137">
        <v>3.7269999999999999</v>
      </c>
      <c r="AC36" s="137">
        <v>2.0529999999999999</v>
      </c>
      <c r="AD36" s="137">
        <v>1.32</v>
      </c>
      <c r="AE36" s="137">
        <v>0.96699999999999997</v>
      </c>
      <c r="AF36" s="137">
        <v>0.79400000000000004</v>
      </c>
      <c r="AG36" s="126">
        <v>3.5449999999999999</v>
      </c>
      <c r="AH36" s="139"/>
      <c r="AI36" s="16">
        <v>3600</v>
      </c>
      <c r="AJ36" s="13">
        <v>3600</v>
      </c>
    </row>
    <row r="37" spans="4:36" x14ac:dyDescent="0.25">
      <c r="D37" s="15" t="s">
        <v>29</v>
      </c>
      <c r="E37" s="184">
        <f>(Y10/(U11*H15*I15*V9))*I21*3.59999712</f>
        <v>2.8488800200921323</v>
      </c>
      <c r="F37" s="33" t="s">
        <v>65</v>
      </c>
      <c r="G37" s="58">
        <f>(Y11/(U11*H15*I15*V9))*I21*3.59999712</f>
        <v>17.409822345007477</v>
      </c>
      <c r="H37" t="s">
        <v>65</v>
      </c>
      <c r="I37" s="182">
        <f>(IF(U11=99999,0,U11))*H15*I15*V9</f>
        <v>44.354236759999999</v>
      </c>
      <c r="J37" s="14" t="s">
        <v>102</v>
      </c>
      <c r="K37" s="14"/>
      <c r="L37" s="53"/>
      <c r="S37" s="53"/>
      <c r="AA37" s="125" t="s">
        <v>12</v>
      </c>
      <c r="AB37" s="138">
        <v>7.62</v>
      </c>
      <c r="AC37" s="138">
        <v>4.5999999999999996</v>
      </c>
      <c r="AD37" s="138">
        <v>2.79</v>
      </c>
      <c r="AE37" s="138">
        <v>1.62</v>
      </c>
      <c r="AF37" s="138">
        <v>1</v>
      </c>
      <c r="AG37" s="126">
        <v>7.06</v>
      </c>
      <c r="AH37" s="137"/>
      <c r="AI37" s="16">
        <v>3700</v>
      </c>
      <c r="AJ37" s="13">
        <v>3700</v>
      </c>
    </row>
    <row r="38" spans="4:36" x14ac:dyDescent="0.25">
      <c r="D38" s="15" t="str">
        <f>IF(I38=0,"-","4°")</f>
        <v>4°</v>
      </c>
      <c r="E38" s="184">
        <f>IF(I38=0,"-",((Y10/(U12*H15*I15*V9))*I21*3.59999712))</f>
        <v>3.8277259757135309</v>
      </c>
      <c r="F38" s="33" t="s">
        <v>65</v>
      </c>
      <c r="G38" s="58">
        <f>IF(I38=0,"-",((Y11/(U12*H15*I15*V9))*I21*3.59999712))</f>
        <v>23.391658740471581</v>
      </c>
      <c r="H38" t="s">
        <v>65</v>
      </c>
      <c r="I38" s="182">
        <f>(IF(U12=99999,0,U12))*H15*I15*V9</f>
        <v>33.011741100000002</v>
      </c>
      <c r="J38" s="14" t="s">
        <v>102</v>
      </c>
      <c r="K38" s="14"/>
      <c r="L38" s="53"/>
      <c r="S38" s="53"/>
      <c r="AA38" s="125" t="s">
        <v>19</v>
      </c>
      <c r="AB38" s="138">
        <v>3.8</v>
      </c>
      <c r="AC38" s="137">
        <v>2.12</v>
      </c>
      <c r="AD38" s="138">
        <v>1.41</v>
      </c>
      <c r="AE38" s="137">
        <v>0.96</v>
      </c>
      <c r="AF38" s="137">
        <v>99999</v>
      </c>
      <c r="AG38" s="126">
        <v>3.27</v>
      </c>
      <c r="AH38" s="137"/>
      <c r="AI38" s="16">
        <v>3800</v>
      </c>
      <c r="AJ38" s="13">
        <v>3800</v>
      </c>
    </row>
    <row r="39" spans="4:36" x14ac:dyDescent="0.25">
      <c r="D39" s="15" t="str">
        <f>IF(I39=0,"-","5°")</f>
        <v>5°</v>
      </c>
      <c r="E39" s="184">
        <f>IF(I39=0,"-",((Y10/(U13*H15*I15*V9))*I21*3.59999712))</f>
        <v>4.9365513575670539</v>
      </c>
      <c r="F39" s="33" t="s">
        <v>65</v>
      </c>
      <c r="G39" s="58">
        <f>IF(I39=0,"-",(Y11/(U13*H15*I15*V9))*I21*3.59999712)</f>
        <v>30.167813851798662</v>
      </c>
      <c r="H39" t="s">
        <v>65</v>
      </c>
      <c r="I39" s="182">
        <f>(IF(U13=99999,0,U13)*H15*I15*V9)</f>
        <v>25.596796176000002</v>
      </c>
      <c r="J39" s="14" t="s">
        <v>102</v>
      </c>
      <c r="K39" s="14"/>
      <c r="L39" s="53"/>
      <c r="S39" s="53"/>
      <c r="AA39" s="125" t="s">
        <v>20</v>
      </c>
      <c r="AB39" s="138">
        <v>3.8</v>
      </c>
      <c r="AC39" s="137">
        <v>2.12</v>
      </c>
      <c r="AD39" s="138">
        <v>1.41</v>
      </c>
      <c r="AE39" s="137">
        <v>0.96</v>
      </c>
      <c r="AF39" s="137">
        <v>0.83</v>
      </c>
      <c r="AG39" s="126">
        <v>3.27</v>
      </c>
      <c r="AH39" s="137"/>
      <c r="AI39" s="16">
        <v>3900</v>
      </c>
      <c r="AJ39" s="13">
        <v>3900</v>
      </c>
    </row>
    <row r="40" spans="4:36" x14ac:dyDescent="0.25">
      <c r="D40" s="23" t="s">
        <v>32</v>
      </c>
      <c r="E40" s="187">
        <f>(Y10/(U14*H15*I15*V9))*I21*3.59999712</f>
        <v>1.2767816716800182</v>
      </c>
      <c r="F40" s="33" t="s">
        <v>65</v>
      </c>
      <c r="G40" s="186">
        <f>(Y11/(U14*H15*I15*V9))*I21*3.59999712</f>
        <v>7.802554660266777</v>
      </c>
      <c r="H40" t="s">
        <v>65</v>
      </c>
      <c r="I40" s="185">
        <f>(IF(U14=99999,0,U14)*H15*I15*V9)</f>
        <v>98.967506908000004</v>
      </c>
      <c r="J40" s="14" t="str">
        <f>IF(I40=0,"Převodovka nemá reverz!","[i]")</f>
        <v>[i]</v>
      </c>
      <c r="K40" s="14"/>
      <c r="L40" s="53"/>
      <c r="M40" s="14"/>
      <c r="N40" s="14"/>
      <c r="S40" s="53"/>
      <c r="AA40" s="141" t="s">
        <v>223</v>
      </c>
      <c r="AB40" s="142">
        <v>4.2699999999999996</v>
      </c>
      <c r="AC40" s="142">
        <v>2.46</v>
      </c>
      <c r="AD40" s="143">
        <v>1.59</v>
      </c>
      <c r="AE40" s="143">
        <v>1</v>
      </c>
      <c r="AF40" s="143">
        <v>99999</v>
      </c>
      <c r="AG40" s="144">
        <v>5.61</v>
      </c>
      <c r="AH40" s="137"/>
      <c r="AI40" s="16">
        <v>4000</v>
      </c>
      <c r="AJ40" s="13">
        <v>4000</v>
      </c>
    </row>
    <row r="41" spans="4:36" x14ac:dyDescent="0.25">
      <c r="K41" s="14"/>
      <c r="L41" s="53"/>
      <c r="M41" s="14"/>
      <c r="N41" s="14"/>
      <c r="S41" s="53"/>
      <c r="AA41" s="125" t="s">
        <v>106</v>
      </c>
      <c r="AB41" s="140">
        <v>3.8</v>
      </c>
      <c r="AC41" s="137">
        <v>2.12</v>
      </c>
      <c r="AD41" s="138">
        <v>1.41</v>
      </c>
      <c r="AE41" s="137">
        <v>0.92700000000000005</v>
      </c>
      <c r="AF41" s="137">
        <v>0.71699999999999997</v>
      </c>
      <c r="AG41" s="126">
        <v>2.927</v>
      </c>
      <c r="AH41" s="139"/>
      <c r="AI41" s="16">
        <v>4100</v>
      </c>
      <c r="AJ41" s="13">
        <v>4100</v>
      </c>
    </row>
    <row r="42" spans="4:36" x14ac:dyDescent="0.25">
      <c r="K42" s="14"/>
      <c r="L42" s="53"/>
      <c r="M42" s="14"/>
      <c r="N42" s="14"/>
      <c r="S42" s="53"/>
      <c r="AA42" s="125" t="s">
        <v>93</v>
      </c>
      <c r="AB42" s="140">
        <v>3.4620000000000002</v>
      </c>
      <c r="AC42" s="137">
        <v>1.9570000000000001</v>
      </c>
      <c r="AD42" s="138">
        <v>1.31</v>
      </c>
      <c r="AE42" s="137">
        <v>0.97499999999999998</v>
      </c>
      <c r="AF42" s="137">
        <v>0.75600000000000001</v>
      </c>
      <c r="AG42" s="126">
        <v>2.923</v>
      </c>
      <c r="AH42" s="139"/>
      <c r="AI42" s="16">
        <v>4200</v>
      </c>
      <c r="AJ42" s="13">
        <v>4200</v>
      </c>
    </row>
    <row r="43" spans="4:36" x14ac:dyDescent="0.25">
      <c r="K43" s="14"/>
      <c r="L43" s="53"/>
      <c r="M43" s="14"/>
      <c r="N43" s="14"/>
      <c r="S43" s="53"/>
      <c r="AA43" s="141" t="s">
        <v>224</v>
      </c>
      <c r="AB43" s="142">
        <v>5.29</v>
      </c>
      <c r="AC43" s="142">
        <v>2.78</v>
      </c>
      <c r="AD43" s="143">
        <v>1.62</v>
      </c>
      <c r="AE43" s="143">
        <v>1</v>
      </c>
      <c r="AF43" s="143">
        <v>99999</v>
      </c>
      <c r="AG43" s="144">
        <v>5.91</v>
      </c>
      <c r="AH43" s="137"/>
      <c r="AI43" s="16">
        <v>4300</v>
      </c>
      <c r="AJ43" s="13">
        <v>4300</v>
      </c>
    </row>
    <row r="44" spans="4:36" x14ac:dyDescent="0.25">
      <c r="L44" s="53"/>
      <c r="M44" s="14"/>
      <c r="N44" s="14"/>
      <c r="S44" s="53"/>
      <c r="AA44" s="141" t="s">
        <v>21</v>
      </c>
      <c r="AB44" s="142">
        <v>6.65</v>
      </c>
      <c r="AC44" s="142">
        <v>3.1</v>
      </c>
      <c r="AD44" s="143">
        <v>1.7150000000000001</v>
      </c>
      <c r="AE44" s="143">
        <v>1.0449999999999999</v>
      </c>
      <c r="AF44" s="143">
        <v>99999</v>
      </c>
      <c r="AG44" s="144">
        <v>5.0999999999999996</v>
      </c>
      <c r="AH44" s="137"/>
      <c r="AI44" s="16">
        <v>4400</v>
      </c>
      <c r="AJ44" s="13">
        <v>4400</v>
      </c>
    </row>
    <row r="45" spans="4:36" x14ac:dyDescent="0.25">
      <c r="L45" s="53"/>
      <c r="M45" s="14"/>
      <c r="N45" s="14"/>
      <c r="S45" s="53"/>
      <c r="AA45" s="141" t="s">
        <v>225</v>
      </c>
      <c r="AB45" s="142">
        <v>4.1239999999999997</v>
      </c>
      <c r="AC45" s="142">
        <v>2.641</v>
      </c>
      <c r="AD45" s="143">
        <v>1.58</v>
      </c>
      <c r="AE45" s="143">
        <v>1</v>
      </c>
      <c r="AF45" s="143">
        <v>99999</v>
      </c>
      <c r="AG45" s="144">
        <v>5.2240000000000002</v>
      </c>
      <c r="AH45" s="137"/>
      <c r="AI45" s="16">
        <v>4500</v>
      </c>
      <c r="AJ45" s="13">
        <v>4500</v>
      </c>
    </row>
    <row r="46" spans="4:36" x14ac:dyDescent="0.25">
      <c r="L46" s="53"/>
      <c r="M46" s="14"/>
      <c r="N46" s="14"/>
      <c r="S46" s="53"/>
      <c r="AA46" s="125" t="s">
        <v>10</v>
      </c>
      <c r="AB46" s="138">
        <v>6.19</v>
      </c>
      <c r="AC46" s="138">
        <v>3.13</v>
      </c>
      <c r="AD46" s="138">
        <v>1.75</v>
      </c>
      <c r="AE46" s="138">
        <v>1</v>
      </c>
      <c r="AF46" s="137">
        <v>99999</v>
      </c>
      <c r="AG46" s="126">
        <v>6.28</v>
      </c>
      <c r="AH46" s="137"/>
      <c r="AI46" s="16">
        <v>4600</v>
      </c>
      <c r="AJ46" s="13">
        <v>4600</v>
      </c>
    </row>
    <row r="47" spans="4:36" x14ac:dyDescent="0.25">
      <c r="L47" s="53"/>
      <c r="M47" s="14"/>
      <c r="N47" s="14"/>
      <c r="S47" s="53"/>
      <c r="AA47" s="125" t="s">
        <v>195</v>
      </c>
      <c r="AB47" s="138">
        <v>3.7530000000000001</v>
      </c>
      <c r="AC47" s="137">
        <v>2.3029999999999999</v>
      </c>
      <c r="AD47" s="138">
        <v>1.4930000000000001</v>
      </c>
      <c r="AE47" s="137">
        <v>1</v>
      </c>
      <c r="AF47" s="137">
        <v>99999</v>
      </c>
      <c r="AG47" s="126">
        <v>3.867</v>
      </c>
      <c r="AH47" s="139"/>
      <c r="AI47" s="16">
        <v>4700</v>
      </c>
      <c r="AJ47" s="13">
        <v>4700</v>
      </c>
    </row>
    <row r="48" spans="4:36" x14ac:dyDescent="0.25">
      <c r="L48" s="53"/>
      <c r="S48" s="53"/>
      <c r="AA48" s="141" t="s">
        <v>196</v>
      </c>
      <c r="AB48" s="142">
        <v>3.7530000000000001</v>
      </c>
      <c r="AC48" s="142">
        <v>2.3029999999999999</v>
      </c>
      <c r="AD48" s="143">
        <v>1.4930000000000001</v>
      </c>
      <c r="AE48" s="143">
        <v>1</v>
      </c>
      <c r="AF48" s="143">
        <v>99999</v>
      </c>
      <c r="AG48" s="144">
        <v>3.867</v>
      </c>
      <c r="AH48" s="139"/>
      <c r="AI48" s="16">
        <v>4800</v>
      </c>
      <c r="AJ48" s="13">
        <v>4800</v>
      </c>
    </row>
    <row r="49" spans="12:36" x14ac:dyDescent="0.25">
      <c r="L49" s="53"/>
      <c r="S49" s="53"/>
      <c r="AA49" s="141" t="s">
        <v>226</v>
      </c>
      <c r="AB49" s="142">
        <v>3.67</v>
      </c>
      <c r="AC49" s="142">
        <v>2.1</v>
      </c>
      <c r="AD49" s="142">
        <v>1.36</v>
      </c>
      <c r="AE49" s="142">
        <v>1</v>
      </c>
      <c r="AF49" s="142">
        <v>0.82</v>
      </c>
      <c r="AG49" s="144">
        <v>3.53</v>
      </c>
      <c r="AH49" s="139"/>
      <c r="AI49" s="16">
        <v>4900</v>
      </c>
      <c r="AJ49" s="13">
        <v>4900</v>
      </c>
    </row>
    <row r="50" spans="12:36" x14ac:dyDescent="0.25">
      <c r="AA50" s="141" t="s">
        <v>227</v>
      </c>
      <c r="AB50" s="142">
        <v>3.11</v>
      </c>
      <c r="AC50" s="142">
        <v>1.77</v>
      </c>
      <c r="AD50" s="143">
        <v>1</v>
      </c>
      <c r="AE50" s="143">
        <v>99999</v>
      </c>
      <c r="AF50" s="143">
        <v>99999</v>
      </c>
      <c r="AG50" s="144">
        <v>3.73</v>
      </c>
      <c r="AI50" s="16">
        <v>5000</v>
      </c>
      <c r="AJ50" s="13">
        <v>5000</v>
      </c>
    </row>
    <row r="51" spans="12:36" x14ac:dyDescent="0.25">
      <c r="AA51" s="141" t="s">
        <v>228</v>
      </c>
      <c r="AB51" s="142">
        <v>3.4</v>
      </c>
      <c r="AC51" s="142">
        <v>2.25</v>
      </c>
      <c r="AD51" s="143">
        <v>1.4</v>
      </c>
      <c r="AE51" s="143">
        <v>1</v>
      </c>
      <c r="AF51" s="143">
        <v>99999</v>
      </c>
      <c r="AG51" s="144">
        <v>3.5</v>
      </c>
      <c r="AI51" s="16">
        <v>5100</v>
      </c>
      <c r="AJ51" s="13">
        <v>5100</v>
      </c>
    </row>
    <row r="52" spans="12:36" x14ac:dyDescent="0.25">
      <c r="AA52" s="125" t="s">
        <v>108</v>
      </c>
      <c r="AB52" s="140">
        <v>3.4550000000000001</v>
      </c>
      <c r="AC52" s="137">
        <v>1.952</v>
      </c>
      <c r="AD52" s="137">
        <v>1.25</v>
      </c>
      <c r="AE52" s="137">
        <v>0.89500000000000002</v>
      </c>
      <c r="AF52" s="137">
        <v>99999</v>
      </c>
      <c r="AG52" s="126">
        <v>3.3849999999999998</v>
      </c>
      <c r="AI52" s="16">
        <v>5200</v>
      </c>
      <c r="AJ52" s="13">
        <v>5200</v>
      </c>
    </row>
    <row r="53" spans="12:36" x14ac:dyDescent="0.25">
      <c r="AA53" s="125" t="s">
        <v>11</v>
      </c>
      <c r="AB53" s="138">
        <v>7.44</v>
      </c>
      <c r="AC53" s="138">
        <v>4.0999999999999996</v>
      </c>
      <c r="AD53" s="138">
        <v>2.29</v>
      </c>
      <c r="AE53" s="138">
        <v>1.47</v>
      </c>
      <c r="AF53" s="138">
        <v>1</v>
      </c>
      <c r="AG53" s="126">
        <v>7.09</v>
      </c>
      <c r="AI53" s="16">
        <v>5300</v>
      </c>
      <c r="AJ53" s="13">
        <v>5300</v>
      </c>
    </row>
    <row r="54" spans="12:36" x14ac:dyDescent="0.25">
      <c r="AA54" s="125" t="s">
        <v>14</v>
      </c>
      <c r="AB54" s="137">
        <v>3.1150000000000002</v>
      </c>
      <c r="AC54" s="137">
        <v>1.772</v>
      </c>
      <c r="AD54" s="137">
        <v>1</v>
      </c>
      <c r="AE54" s="137">
        <v>99999</v>
      </c>
      <c r="AF54" s="137">
        <v>99999</v>
      </c>
      <c r="AG54" s="126">
        <v>3.738</v>
      </c>
      <c r="AI54" s="16">
        <v>5400</v>
      </c>
      <c r="AJ54" s="13">
        <v>5400</v>
      </c>
    </row>
    <row r="55" spans="12:36" ht="15.75" thickBot="1" x14ac:dyDescent="0.3">
      <c r="AA55" s="130" t="s">
        <v>15</v>
      </c>
      <c r="AB55" s="147">
        <v>3.7530000000000001</v>
      </c>
      <c r="AC55" s="147">
        <v>2.3719999999999999</v>
      </c>
      <c r="AD55" s="147">
        <v>1.482</v>
      </c>
      <c r="AE55" s="147">
        <v>1</v>
      </c>
      <c r="AF55" s="148">
        <v>99999</v>
      </c>
      <c r="AG55" s="149">
        <v>3.7530000000000001</v>
      </c>
      <c r="AI55" s="16">
        <v>5500</v>
      </c>
      <c r="AJ55" s="13">
        <v>5500</v>
      </c>
    </row>
    <row r="56" spans="12:36" x14ac:dyDescent="0.25">
      <c r="AI56" s="16">
        <v>5600</v>
      </c>
      <c r="AJ56" s="13">
        <v>5600</v>
      </c>
    </row>
    <row r="57" spans="12:36" x14ac:dyDescent="0.25">
      <c r="AI57" s="16">
        <v>5700</v>
      </c>
      <c r="AJ57" s="13">
        <v>5700</v>
      </c>
    </row>
    <row r="58" spans="12:36" ht="15.75" thickBot="1" x14ac:dyDescent="0.3">
      <c r="AI58" s="16">
        <v>5800</v>
      </c>
      <c r="AJ58" s="13">
        <v>5800</v>
      </c>
    </row>
    <row r="59" spans="12:36" ht="16.5" thickBot="1" x14ac:dyDescent="0.3">
      <c r="AA59" s="252" t="s">
        <v>49</v>
      </c>
      <c r="AB59" s="253"/>
      <c r="AD59" s="252" t="s">
        <v>52</v>
      </c>
      <c r="AE59" s="253"/>
      <c r="AI59" s="16">
        <v>5900</v>
      </c>
      <c r="AJ59" s="13">
        <v>5900</v>
      </c>
    </row>
    <row r="60" spans="12:36" x14ac:dyDescent="0.25">
      <c r="AA60" s="50" t="s">
        <v>245</v>
      </c>
      <c r="AB60" s="67" t="s">
        <v>47</v>
      </c>
      <c r="AD60" s="50" t="s">
        <v>53</v>
      </c>
      <c r="AE60" s="67" t="s">
        <v>54</v>
      </c>
      <c r="AI60" s="16">
        <v>6000</v>
      </c>
      <c r="AJ60" s="13">
        <v>6000</v>
      </c>
    </row>
    <row r="61" spans="12:36" x14ac:dyDescent="0.25">
      <c r="AA61" s="16"/>
      <c r="AB61" s="13"/>
      <c r="AD61" s="4"/>
      <c r="AE61" s="6"/>
      <c r="AI61" s="16">
        <v>6100</v>
      </c>
      <c r="AJ61" s="13">
        <v>6100</v>
      </c>
    </row>
    <row r="62" spans="12:36" x14ac:dyDescent="0.25">
      <c r="AA62" s="125" t="s">
        <v>246</v>
      </c>
      <c r="AB62" s="126">
        <v>1</v>
      </c>
      <c r="AD62" s="16" t="s">
        <v>90</v>
      </c>
      <c r="AE62" s="66">
        <f>P29</f>
        <v>1.8095573684677209</v>
      </c>
      <c r="AI62" s="16">
        <v>6200</v>
      </c>
      <c r="AJ62" s="13">
        <v>6200</v>
      </c>
    </row>
    <row r="63" spans="12:36" x14ac:dyDescent="0.25">
      <c r="AA63" s="125" t="s">
        <v>48</v>
      </c>
      <c r="AB63" s="126">
        <f>P17</f>
        <v>3.8</v>
      </c>
      <c r="AD63" s="191" t="s">
        <v>261</v>
      </c>
      <c r="AE63" s="194">
        <v>1.25</v>
      </c>
      <c r="AI63" s="16">
        <v>6300</v>
      </c>
      <c r="AJ63" s="13">
        <v>6300</v>
      </c>
    </row>
    <row r="64" spans="12:36" x14ac:dyDescent="0.25">
      <c r="AA64" s="125" t="s">
        <v>18</v>
      </c>
      <c r="AB64" s="127">
        <v>3.867</v>
      </c>
      <c r="AD64" s="117" t="s">
        <v>180</v>
      </c>
      <c r="AE64" s="192">
        <v>1.37</v>
      </c>
      <c r="AI64" s="16">
        <v>6400</v>
      </c>
      <c r="AJ64" s="13">
        <v>6400</v>
      </c>
    </row>
    <row r="65" spans="27:36" x14ac:dyDescent="0.25">
      <c r="AA65" s="125" t="s">
        <v>248</v>
      </c>
      <c r="AB65" s="127">
        <v>4.22</v>
      </c>
      <c r="AD65" s="117" t="s">
        <v>181</v>
      </c>
      <c r="AE65" s="192">
        <v>1.52</v>
      </c>
      <c r="AI65" s="16">
        <v>6500</v>
      </c>
      <c r="AJ65" s="13">
        <v>6500</v>
      </c>
    </row>
    <row r="66" spans="27:36" x14ac:dyDescent="0.25">
      <c r="AA66" s="125" t="s">
        <v>249</v>
      </c>
      <c r="AB66" s="127">
        <v>3.9</v>
      </c>
      <c r="AD66" s="117" t="s">
        <v>55</v>
      </c>
      <c r="AE66" s="193">
        <v>1.7050000000000001</v>
      </c>
      <c r="AI66" s="16">
        <v>6600</v>
      </c>
      <c r="AJ66" s="13">
        <v>6600</v>
      </c>
    </row>
    <row r="67" spans="27:36" x14ac:dyDescent="0.25">
      <c r="AA67" s="125" t="s">
        <v>250</v>
      </c>
      <c r="AB67" s="127">
        <v>4.1669999999999998</v>
      </c>
      <c r="AD67" s="117" t="s">
        <v>113</v>
      </c>
      <c r="AE67" s="192">
        <v>1.81</v>
      </c>
      <c r="AI67" s="16">
        <v>6700</v>
      </c>
      <c r="AJ67" s="13">
        <v>6700</v>
      </c>
    </row>
    <row r="68" spans="27:36" x14ac:dyDescent="0.25">
      <c r="AA68" s="125" t="s">
        <v>251</v>
      </c>
      <c r="AB68" s="127">
        <v>3.895</v>
      </c>
      <c r="AD68" s="191" t="s">
        <v>262</v>
      </c>
      <c r="AE68" s="194">
        <v>1.83</v>
      </c>
      <c r="AI68" s="16">
        <v>6800</v>
      </c>
      <c r="AJ68" s="13">
        <v>6800</v>
      </c>
    </row>
    <row r="69" spans="27:36" x14ac:dyDescent="0.25">
      <c r="AA69" s="125" t="s">
        <v>252</v>
      </c>
      <c r="AB69" s="127">
        <v>3.8330000000000002</v>
      </c>
      <c r="AD69" s="114" t="s">
        <v>56</v>
      </c>
      <c r="AE69" s="193">
        <v>2.04</v>
      </c>
      <c r="AI69" s="16">
        <v>6900</v>
      </c>
      <c r="AJ69" s="13">
        <v>6900</v>
      </c>
    </row>
    <row r="70" spans="27:36" x14ac:dyDescent="0.25">
      <c r="AA70" s="125" t="s">
        <v>270</v>
      </c>
      <c r="AB70" s="127">
        <v>4.1180000000000003</v>
      </c>
      <c r="AD70" s="114" t="s">
        <v>57</v>
      </c>
      <c r="AE70" s="194">
        <v>2.16</v>
      </c>
      <c r="AI70" s="16">
        <v>7000</v>
      </c>
      <c r="AJ70" s="13">
        <v>7000</v>
      </c>
    </row>
    <row r="71" spans="27:36" x14ac:dyDescent="0.25">
      <c r="AA71" s="125" t="s">
        <v>269</v>
      </c>
      <c r="AB71" s="127">
        <v>3.8330000000000002</v>
      </c>
      <c r="AD71" s="191" t="s">
        <v>259</v>
      </c>
      <c r="AE71" s="194">
        <v>2.2949999999999999</v>
      </c>
      <c r="AI71" s="16">
        <v>7100</v>
      </c>
      <c r="AJ71" s="13">
        <v>7100</v>
      </c>
    </row>
    <row r="72" spans="27:36" x14ac:dyDescent="0.25">
      <c r="AA72" s="125" t="s">
        <v>255</v>
      </c>
      <c r="AB72" s="127">
        <v>3.5790000000000002</v>
      </c>
      <c r="AD72" s="114" t="s">
        <v>58</v>
      </c>
      <c r="AE72" s="193">
        <v>2.34</v>
      </c>
      <c r="AI72" s="16">
        <v>7200</v>
      </c>
      <c r="AJ72" s="13">
        <v>7200</v>
      </c>
    </row>
    <row r="73" spans="27:36" ht="15.75" thickBot="1" x14ac:dyDescent="0.3">
      <c r="AA73" s="125" t="s">
        <v>271</v>
      </c>
      <c r="AB73" s="127">
        <v>4.2670000000000003</v>
      </c>
      <c r="AD73" s="114" t="s">
        <v>59</v>
      </c>
      <c r="AE73" s="193">
        <v>2.36</v>
      </c>
      <c r="AI73" s="16">
        <v>7300</v>
      </c>
      <c r="AJ73" s="13">
        <v>7300</v>
      </c>
    </row>
    <row r="74" spans="27:36" x14ac:dyDescent="0.25">
      <c r="AA74" s="128" t="s">
        <v>48</v>
      </c>
      <c r="AB74" s="129">
        <f>P20</f>
        <v>1</v>
      </c>
      <c r="AD74" s="118" t="s">
        <v>61</v>
      </c>
      <c r="AE74" s="192">
        <v>2.5</v>
      </c>
      <c r="AI74" s="16">
        <v>7400</v>
      </c>
      <c r="AJ74" s="13">
        <v>7400</v>
      </c>
    </row>
    <row r="75" spans="27:36" x14ac:dyDescent="0.25">
      <c r="AA75" s="125" t="s">
        <v>39</v>
      </c>
      <c r="AB75" s="131">
        <v>5.15</v>
      </c>
      <c r="AD75" s="191" t="s">
        <v>260</v>
      </c>
      <c r="AE75" s="194">
        <v>2.5499999999999998</v>
      </c>
      <c r="AI75" s="16">
        <v>7500</v>
      </c>
      <c r="AJ75" s="13">
        <v>7500</v>
      </c>
    </row>
    <row r="76" spans="27:36" x14ac:dyDescent="0.25">
      <c r="AA76" s="125" t="s">
        <v>16</v>
      </c>
      <c r="AB76" s="132">
        <v>4.57</v>
      </c>
      <c r="AD76" s="191" t="s">
        <v>263</v>
      </c>
      <c r="AE76" s="194">
        <v>2.66</v>
      </c>
      <c r="AI76" s="16">
        <v>7600</v>
      </c>
      <c r="AJ76" s="13">
        <v>7600</v>
      </c>
    </row>
    <row r="77" spans="27:36" x14ac:dyDescent="0.25">
      <c r="AA77" s="125" t="s">
        <v>17</v>
      </c>
      <c r="AB77" s="131">
        <v>4.7140000000000004</v>
      </c>
      <c r="AD77" s="114" t="s">
        <v>60</v>
      </c>
      <c r="AE77" s="193">
        <v>2.78</v>
      </c>
      <c r="AI77" s="16">
        <v>7700</v>
      </c>
      <c r="AJ77" s="13">
        <v>7700</v>
      </c>
    </row>
    <row r="78" spans="27:36" x14ac:dyDescent="0.25">
      <c r="AA78" s="124" t="s">
        <v>183</v>
      </c>
      <c r="AB78" s="133">
        <v>5.57</v>
      </c>
      <c r="AD78" s="114" t="s">
        <v>238</v>
      </c>
      <c r="AE78" s="194">
        <v>3</v>
      </c>
      <c r="AI78" s="16">
        <v>7800</v>
      </c>
      <c r="AJ78" s="13">
        <v>7800</v>
      </c>
    </row>
    <row r="79" spans="27:36" x14ac:dyDescent="0.25">
      <c r="AA79" s="124" t="s">
        <v>184</v>
      </c>
      <c r="AB79" s="136">
        <v>5.38</v>
      </c>
      <c r="AD79" s="114" t="s">
        <v>62</v>
      </c>
      <c r="AE79" s="194">
        <v>3.3</v>
      </c>
      <c r="AI79" s="16">
        <v>7900</v>
      </c>
      <c r="AJ79" s="13">
        <v>7900</v>
      </c>
    </row>
    <row r="80" spans="27:36" x14ac:dyDescent="0.25">
      <c r="AA80" s="124" t="s">
        <v>185</v>
      </c>
      <c r="AB80" s="136">
        <v>4.5599999999999996</v>
      </c>
      <c r="AD80" s="114" t="s">
        <v>239</v>
      </c>
      <c r="AE80" s="194">
        <v>3.33</v>
      </c>
      <c r="AI80" s="16">
        <v>8000</v>
      </c>
      <c r="AJ80" s="13">
        <v>8000</v>
      </c>
    </row>
    <row r="81" spans="27:36" x14ac:dyDescent="0.25">
      <c r="AA81" s="124" t="s">
        <v>186</v>
      </c>
      <c r="AB81" s="136">
        <v>6.6</v>
      </c>
      <c r="AD81" s="114" t="s">
        <v>182</v>
      </c>
      <c r="AE81" s="194">
        <v>3.4729999999999999</v>
      </c>
      <c r="AI81" s="16">
        <v>8100</v>
      </c>
      <c r="AJ81" s="13">
        <v>8100</v>
      </c>
    </row>
    <row r="82" spans="27:36" x14ac:dyDescent="0.25">
      <c r="AA82" s="124" t="s">
        <v>197</v>
      </c>
      <c r="AB82" s="136">
        <v>6.17</v>
      </c>
      <c r="AD82" s="191" t="s">
        <v>241</v>
      </c>
      <c r="AE82" s="194">
        <v>3.5550000000000002</v>
      </c>
      <c r="AI82" s="16">
        <v>8200</v>
      </c>
      <c r="AJ82" s="13">
        <v>8200</v>
      </c>
    </row>
    <row r="83" spans="27:36" x14ac:dyDescent="0.25">
      <c r="AA83" s="125" t="s">
        <v>41</v>
      </c>
      <c r="AB83" s="134">
        <v>3.64</v>
      </c>
      <c r="AD83" s="191" t="s">
        <v>242</v>
      </c>
      <c r="AE83" s="194">
        <v>3.75</v>
      </c>
      <c r="AI83" s="16">
        <v>8300</v>
      </c>
      <c r="AJ83" s="13">
        <v>8300</v>
      </c>
    </row>
    <row r="84" spans="27:36" x14ac:dyDescent="0.25">
      <c r="AA84" s="125" t="s">
        <v>42</v>
      </c>
      <c r="AB84" s="134">
        <v>3.46</v>
      </c>
      <c r="AD84" s="191" t="s">
        <v>240</v>
      </c>
      <c r="AE84" s="194">
        <v>3.7949999999999999</v>
      </c>
      <c r="AI84" s="16">
        <v>8400</v>
      </c>
      <c r="AJ84" s="13">
        <v>8400</v>
      </c>
    </row>
    <row r="85" spans="27:36" ht="15.75" thickBot="1" x14ac:dyDescent="0.3">
      <c r="AA85" s="124" t="s">
        <v>187</v>
      </c>
      <c r="AB85" s="136">
        <v>5.1660000000000004</v>
      </c>
      <c r="AD85" s="195" t="s">
        <v>243</v>
      </c>
      <c r="AE85" s="196">
        <v>4.1100000000000003</v>
      </c>
      <c r="AI85" s="16">
        <v>8500</v>
      </c>
      <c r="AJ85" s="13">
        <v>8500</v>
      </c>
    </row>
    <row r="86" spans="27:36" x14ac:dyDescent="0.25">
      <c r="AA86" s="125" t="s">
        <v>36</v>
      </c>
      <c r="AB86" s="131">
        <v>6.83</v>
      </c>
      <c r="AI86" s="16">
        <v>8600</v>
      </c>
      <c r="AJ86" s="13">
        <v>8600</v>
      </c>
    </row>
    <row r="87" spans="27:36" x14ac:dyDescent="0.25">
      <c r="AA87" s="125" t="s">
        <v>9</v>
      </c>
      <c r="AB87" s="134">
        <v>5.125</v>
      </c>
      <c r="AI87" s="16">
        <v>8700</v>
      </c>
      <c r="AJ87" s="13">
        <v>8700</v>
      </c>
    </row>
    <row r="88" spans="27:36" ht="15.75" thickBot="1" x14ac:dyDescent="0.3">
      <c r="AA88" s="124" t="s">
        <v>188</v>
      </c>
      <c r="AB88" s="136">
        <v>5.36</v>
      </c>
      <c r="AI88" s="16">
        <v>8800</v>
      </c>
      <c r="AJ88" s="13">
        <v>8800</v>
      </c>
    </row>
    <row r="89" spans="27:36" ht="16.5" thickBot="1" x14ac:dyDescent="0.3">
      <c r="AA89" s="124" t="s">
        <v>189</v>
      </c>
      <c r="AB89" s="136">
        <v>4.6399999999999997</v>
      </c>
      <c r="AD89" s="252" t="s">
        <v>174</v>
      </c>
      <c r="AE89" s="253"/>
      <c r="AI89" s="16">
        <v>8900</v>
      </c>
      <c r="AJ89" s="13">
        <v>8900</v>
      </c>
    </row>
    <row r="90" spans="27:36" x14ac:dyDescent="0.25">
      <c r="AA90" s="124" t="s">
        <v>190</v>
      </c>
      <c r="AB90" s="136">
        <v>5.36</v>
      </c>
      <c r="AD90" s="16" t="s">
        <v>273</v>
      </c>
      <c r="AE90" s="217">
        <v>1</v>
      </c>
      <c r="AI90" s="16">
        <v>9000</v>
      </c>
      <c r="AJ90" s="13">
        <v>9000</v>
      </c>
    </row>
    <row r="91" spans="27:36" x14ac:dyDescent="0.25">
      <c r="AA91" s="124" t="s">
        <v>191</v>
      </c>
      <c r="AB91" s="136">
        <v>6.7</v>
      </c>
      <c r="AD91" s="213" t="s">
        <v>274</v>
      </c>
      <c r="AE91" s="217">
        <v>2</v>
      </c>
      <c r="AI91" s="16">
        <v>9100</v>
      </c>
      <c r="AJ91" s="13">
        <v>9100</v>
      </c>
    </row>
    <row r="92" spans="27:36" x14ac:dyDescent="0.25">
      <c r="AA92" s="124" t="s">
        <v>199</v>
      </c>
      <c r="AB92" s="136">
        <v>4.0999999999999996</v>
      </c>
      <c r="AD92" s="213" t="s">
        <v>275</v>
      </c>
      <c r="AE92" s="217">
        <v>3</v>
      </c>
      <c r="AI92" s="16">
        <v>9200</v>
      </c>
      <c r="AJ92" s="13">
        <v>9200</v>
      </c>
    </row>
    <row r="93" spans="27:36" x14ac:dyDescent="0.25">
      <c r="AA93" s="125" t="s">
        <v>45</v>
      </c>
      <c r="AB93" s="134">
        <v>15.5</v>
      </c>
      <c r="AD93" s="213" t="s">
        <v>276</v>
      </c>
      <c r="AE93" s="217">
        <v>4</v>
      </c>
      <c r="AI93" s="16">
        <v>9300</v>
      </c>
      <c r="AJ93" s="13">
        <v>9300</v>
      </c>
    </row>
    <row r="94" spans="27:36" x14ac:dyDescent="0.25">
      <c r="AA94" s="125" t="s">
        <v>46</v>
      </c>
      <c r="AB94" s="131">
        <v>7.5</v>
      </c>
      <c r="AD94" s="213" t="s">
        <v>277</v>
      </c>
      <c r="AE94" s="66">
        <f>P23</f>
        <v>1.2777777777777777</v>
      </c>
      <c r="AI94" s="16">
        <v>9400</v>
      </c>
      <c r="AJ94" s="13">
        <v>9400</v>
      </c>
    </row>
    <row r="95" spans="27:36" ht="15.75" thickBot="1" x14ac:dyDescent="0.3">
      <c r="AA95" s="124" t="s">
        <v>200</v>
      </c>
      <c r="AB95" s="136">
        <v>3.92</v>
      </c>
      <c r="AD95" s="18"/>
      <c r="AE95" s="19"/>
      <c r="AI95" s="16">
        <v>9500</v>
      </c>
      <c r="AJ95" s="13">
        <v>9500</v>
      </c>
    </row>
    <row r="96" spans="27:36" x14ac:dyDescent="0.25">
      <c r="AA96" s="125" t="s">
        <v>37</v>
      </c>
      <c r="AB96" s="131">
        <v>5.17</v>
      </c>
      <c r="AI96" s="16">
        <v>9600</v>
      </c>
      <c r="AJ96" s="13">
        <v>9600</v>
      </c>
    </row>
    <row r="97" spans="27:36" x14ac:dyDescent="0.25">
      <c r="AA97" s="124" t="s">
        <v>192</v>
      </c>
      <c r="AB97" s="136">
        <v>5.86</v>
      </c>
      <c r="AI97" s="16">
        <v>9700</v>
      </c>
      <c r="AJ97" s="13">
        <v>9700</v>
      </c>
    </row>
    <row r="98" spans="27:36" x14ac:dyDescent="0.25">
      <c r="AA98" s="124" t="s">
        <v>202</v>
      </c>
      <c r="AB98" s="136">
        <v>4.1109999999999998</v>
      </c>
      <c r="AI98" s="16">
        <v>9800</v>
      </c>
      <c r="AJ98" s="13">
        <v>9800</v>
      </c>
    </row>
    <row r="99" spans="27:36" x14ac:dyDescent="0.25">
      <c r="AA99" s="124" t="s">
        <v>201</v>
      </c>
      <c r="AB99" s="136">
        <v>3.7269999999999999</v>
      </c>
      <c r="AI99" s="16">
        <v>9900</v>
      </c>
      <c r="AJ99" s="13">
        <v>9900</v>
      </c>
    </row>
    <row r="100" spans="27:36" ht="15.75" thickBot="1" x14ac:dyDescent="0.3">
      <c r="AA100" s="124" t="s">
        <v>193</v>
      </c>
      <c r="AB100" s="136">
        <v>3.9089999999999998</v>
      </c>
      <c r="AI100" s="18">
        <v>10000</v>
      </c>
      <c r="AJ100" s="19">
        <v>10000</v>
      </c>
    </row>
    <row r="101" spans="27:36" x14ac:dyDescent="0.25">
      <c r="AA101" s="124" t="s">
        <v>198</v>
      </c>
      <c r="AB101" s="136">
        <v>4.22</v>
      </c>
    </row>
    <row r="102" spans="27:36" x14ac:dyDescent="0.25">
      <c r="AA102" s="125" t="s">
        <v>51</v>
      </c>
      <c r="AB102" s="131">
        <v>5.86</v>
      </c>
    </row>
    <row r="103" spans="27:36" x14ac:dyDescent="0.25">
      <c r="AA103" s="125" t="s">
        <v>40</v>
      </c>
      <c r="AB103" s="134">
        <v>4.78</v>
      </c>
    </row>
    <row r="104" spans="27:36" x14ac:dyDescent="0.25">
      <c r="AA104" s="125" t="s">
        <v>44</v>
      </c>
      <c r="AB104" s="134">
        <v>7.44</v>
      </c>
    </row>
    <row r="105" spans="27:36" x14ac:dyDescent="0.25">
      <c r="AA105" s="125" t="s">
        <v>43</v>
      </c>
      <c r="AB105" s="134">
        <v>3.15</v>
      </c>
    </row>
    <row r="106" spans="27:36" x14ac:dyDescent="0.25">
      <c r="AA106" s="125" t="s">
        <v>10</v>
      </c>
      <c r="AB106" s="131">
        <v>8.3460000000000001</v>
      </c>
    </row>
    <row r="107" spans="27:36" x14ac:dyDescent="0.25">
      <c r="AA107" s="125" t="s">
        <v>35</v>
      </c>
      <c r="AB107" s="131">
        <v>3.9</v>
      </c>
    </row>
    <row r="108" spans="27:36" x14ac:dyDescent="0.25">
      <c r="AA108" s="124" t="s">
        <v>194</v>
      </c>
      <c r="AB108" s="136">
        <v>4.4400000000000004</v>
      </c>
    </row>
    <row r="109" spans="27:36" x14ac:dyDescent="0.25">
      <c r="AA109" s="124" t="s">
        <v>195</v>
      </c>
      <c r="AB109" s="136">
        <v>4.4400000000000004</v>
      </c>
    </row>
    <row r="110" spans="27:36" x14ac:dyDescent="0.25">
      <c r="AA110" s="124" t="s">
        <v>196</v>
      </c>
      <c r="AB110" s="136">
        <v>4.3</v>
      </c>
    </row>
    <row r="111" spans="27:36" x14ac:dyDescent="0.25">
      <c r="AA111" s="124" t="s">
        <v>203</v>
      </c>
      <c r="AB111" s="136">
        <v>4.2699999999999996</v>
      </c>
    </row>
    <row r="112" spans="27:36" ht="15.75" thickBot="1" x14ac:dyDescent="0.3">
      <c r="AA112" s="130" t="s">
        <v>38</v>
      </c>
      <c r="AB112" s="135">
        <v>5.125</v>
      </c>
    </row>
    <row r="113" spans="27:28" x14ac:dyDescent="0.25">
      <c r="AA113" s="119"/>
      <c r="AB113" s="120"/>
    </row>
    <row r="114" spans="27:28" x14ac:dyDescent="0.25">
      <c r="AA114" s="119"/>
      <c r="AB114" s="121"/>
    </row>
    <row r="115" spans="27:28" x14ac:dyDescent="0.25">
      <c r="AA115" s="119"/>
      <c r="AB115" s="120"/>
    </row>
    <row r="116" spans="27:28" x14ac:dyDescent="0.25">
      <c r="AA116" s="119"/>
      <c r="AB116" s="121"/>
    </row>
    <row r="117" spans="27:28" x14ac:dyDescent="0.25">
      <c r="AA117" s="119"/>
      <c r="AB117" s="120"/>
    </row>
    <row r="118" spans="27:28" x14ac:dyDescent="0.25">
      <c r="AA118" s="119"/>
      <c r="AB118" s="120"/>
    </row>
    <row r="119" spans="27:28" x14ac:dyDescent="0.25">
      <c r="AA119" s="119"/>
      <c r="AB119" s="120"/>
    </row>
  </sheetData>
  <sheetProtection password="C660" sheet="1" objects="1" scenarios="1"/>
  <protectedRanges>
    <protectedRange sqref="D11:D12 F13 G14 I14 I20 F20 P9:P14 P17 P20 P23 P29 P31:P33 P25:Q25" name="Oblast1"/>
  </protectedRanges>
  <mergeCells count="15">
    <mergeCell ref="AD89:AE89"/>
    <mergeCell ref="N6:Q6"/>
    <mergeCell ref="D26:G26"/>
    <mergeCell ref="AA59:AB59"/>
    <mergeCell ref="AD59:AE59"/>
    <mergeCell ref="D32:J32"/>
    <mergeCell ref="F13:H13"/>
    <mergeCell ref="F12:H12"/>
    <mergeCell ref="W8:Y8"/>
    <mergeCell ref="G14:H14"/>
    <mergeCell ref="E19:F19"/>
    <mergeCell ref="E34:F34"/>
    <mergeCell ref="G34:H34"/>
    <mergeCell ref="I34:J34"/>
    <mergeCell ref="T8:U8"/>
  </mergeCells>
  <conditionalFormatting sqref="F28:F29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:D12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35:I39">
    <cfRule type="colorScale" priority="7">
      <colorScale>
        <cfvo type="min"/>
        <cfvo type="max"/>
        <color theme="0"/>
        <color rgb="FFFFEF9C"/>
      </colorScale>
    </cfRule>
  </conditionalFormatting>
  <conditionalFormatting sqref="E35:E39">
    <cfRule type="colorScale" priority="6">
      <colorScale>
        <cfvo type="min"/>
        <cfvo type="max"/>
        <color theme="3" tint="0.79998168889431442"/>
        <color theme="0" tint="-4.9989318521683403E-2"/>
      </colorScale>
    </cfRule>
  </conditionalFormatting>
  <conditionalFormatting sqref="G35:G39">
    <cfRule type="colorScale" priority="5">
      <colorScale>
        <cfvo type="min"/>
        <cfvo type="max"/>
        <color theme="0"/>
        <color theme="9" tint="0.59999389629810485"/>
      </colorScale>
    </cfRule>
  </conditionalFormatting>
  <conditionalFormatting sqref="AB7:AG7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AB63 AB74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AE62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AE94">
    <cfRule type="iconSet" priority="1">
      <iconSet iconSet="3Flags">
        <cfvo type="percent" val="0"/>
        <cfvo type="percent" val="33"/>
        <cfvo type="percent" val="67"/>
      </iconSet>
    </cfRule>
  </conditionalFormatting>
  <dataValidations count="7">
    <dataValidation type="list" allowBlank="1" showInputMessage="1" showErrorMessage="1" promptTitle="Vyber:" prompt="Převodovku" sqref="F13">
      <formula1>$AA$6:$AA$55</formula1>
    </dataValidation>
    <dataValidation type="list" allowBlank="1" showInputMessage="1" showErrorMessage="1" promptTitle="Vyber:" prompt="Maximální otáčky motoru_x000a_" sqref="D12">
      <formula1>$AI$20:$AI$100</formula1>
    </dataValidation>
    <dataValidation type="list" allowBlank="1" showInputMessage="1" showErrorMessage="1" promptTitle="Vyber:" prompt="Minimální otáčky motoru" sqref="D11">
      <formula1>$AI$5:$AI$20</formula1>
    </dataValidation>
    <dataValidation type="list" allowBlank="1" showInputMessage="1" showErrorMessage="1" promptTitle="Vyber:" prompt="Rozměr hnacího kola (pneumatiky)_x000a_" sqref="I20">
      <formula1>$AD$62:$AD$85</formula1>
    </dataValidation>
    <dataValidation type="list" allowBlank="1" showInputMessage="1" showErrorMessage="1" promptTitle="Vyber:" prompt="Převod hnací nápravy" sqref="I14">
      <formula1>$AA$74:$AA$112</formula1>
    </dataValidation>
    <dataValidation type="list" allowBlank="1" showInputMessage="1" showErrorMessage="1" promptTitle="Vyber:" prompt="Stálý převod (diferenciál), má-li ho převodovka_x000a_" sqref="G14">
      <formula1>$AA$62:$AA$73</formula1>
    </dataValidation>
    <dataValidation type="list" allowBlank="1" showInputMessage="1" showErrorMessage="1" promptTitle="Vyber:" prompt="Mezipřevodový poměr tvořený řetězem, či mezipřevodovkou." sqref="F20">
      <formula1>$AD$90:$AD$94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T156"/>
  <sheetViews>
    <sheetView showGridLines="0" zoomScaleNormal="100" workbookViewId="0">
      <selection activeCell="P38" sqref="P38"/>
    </sheetView>
  </sheetViews>
  <sheetFormatPr defaultRowHeight="15" x14ac:dyDescent="0.25"/>
  <cols>
    <col min="1" max="1" width="9.140625" customWidth="1"/>
    <col min="2" max="2" width="3.140625" customWidth="1"/>
    <col min="3" max="3" width="11.85546875" customWidth="1"/>
    <col min="4" max="4" width="10.5703125" customWidth="1"/>
    <col min="6" max="9" width="9.140625" customWidth="1"/>
    <col min="10" max="10" width="15" customWidth="1"/>
    <col min="11" max="11" width="13.85546875" customWidth="1"/>
    <col min="12" max="12" width="14.7109375" customWidth="1"/>
    <col min="13" max="13" width="13" customWidth="1"/>
    <col min="14" max="14" width="4.7109375" customWidth="1"/>
    <col min="15" max="15" width="12" customWidth="1"/>
    <col min="16" max="16" width="11" customWidth="1"/>
    <col min="17" max="18" width="9.42578125" customWidth="1"/>
    <col min="19" max="19" width="4.28515625" customWidth="1"/>
    <col min="20" max="20" width="4.42578125" customWidth="1"/>
    <col min="21" max="21" width="11.5703125" customWidth="1"/>
    <col min="22" max="22" width="4.5703125" customWidth="1"/>
    <col min="23" max="23" width="10.85546875" customWidth="1"/>
    <col min="24" max="24" width="5.85546875" customWidth="1"/>
    <col min="25" max="25" width="12.140625" customWidth="1"/>
    <col min="28" max="28" width="15.42578125" customWidth="1"/>
    <col min="29" max="29" width="21" hidden="1" customWidth="1"/>
    <col min="30" max="38" width="9.140625" hidden="1" customWidth="1"/>
    <col min="39" max="39" width="18.42578125" hidden="1" customWidth="1"/>
    <col min="40" max="46" width="9.140625" hidden="1" customWidth="1"/>
  </cols>
  <sheetData>
    <row r="1" spans="3:46" x14ac:dyDescent="0.25">
      <c r="M1" s="60"/>
      <c r="S1" s="53"/>
    </row>
    <row r="2" spans="3:46" ht="23.25" thickBot="1" x14ac:dyDescent="0.35">
      <c r="H2" s="89" t="s">
        <v>142</v>
      </c>
      <c r="I2" s="89"/>
      <c r="L2" s="83"/>
      <c r="S2" s="53"/>
    </row>
    <row r="3" spans="3:46" ht="16.5" thickBot="1" x14ac:dyDescent="0.3">
      <c r="L3" s="83"/>
      <c r="N3" s="254" t="s">
        <v>147</v>
      </c>
      <c r="O3" s="254"/>
      <c r="P3" s="254"/>
      <c r="Q3" s="254"/>
      <c r="S3" s="53"/>
      <c r="AC3" s="252" t="s">
        <v>94</v>
      </c>
      <c r="AD3" s="275"/>
      <c r="AE3" s="275"/>
      <c r="AF3" s="275"/>
      <c r="AG3" s="275"/>
      <c r="AH3" s="275"/>
      <c r="AI3" s="275"/>
      <c r="AJ3" s="253"/>
      <c r="AM3" s="252" t="s">
        <v>109</v>
      </c>
      <c r="AN3" s="275"/>
      <c r="AO3" s="275"/>
      <c r="AP3" s="275"/>
      <c r="AQ3" s="275"/>
      <c r="AR3" s="275"/>
      <c r="AS3" s="275"/>
      <c r="AT3" s="253"/>
    </row>
    <row r="4" spans="3:46" x14ac:dyDescent="0.25">
      <c r="L4" s="83"/>
      <c r="R4" s="281"/>
      <c r="S4" s="53"/>
      <c r="AC4" s="50" t="s">
        <v>2</v>
      </c>
      <c r="AD4" s="51" t="s">
        <v>3</v>
      </c>
      <c r="AE4" s="51" t="s">
        <v>4</v>
      </c>
      <c r="AF4" s="51" t="s">
        <v>5</v>
      </c>
      <c r="AG4" s="51" t="s">
        <v>6</v>
      </c>
      <c r="AH4" s="51" t="s">
        <v>7</v>
      </c>
      <c r="AI4" s="51" t="s">
        <v>8</v>
      </c>
      <c r="AJ4" s="61" t="s">
        <v>87</v>
      </c>
      <c r="AM4" s="50" t="s">
        <v>2</v>
      </c>
      <c r="AN4" s="51" t="s">
        <v>3</v>
      </c>
      <c r="AO4" s="51" t="s">
        <v>4</v>
      </c>
      <c r="AP4" s="51" t="s">
        <v>5</v>
      </c>
      <c r="AQ4" s="51" t="s">
        <v>6</v>
      </c>
      <c r="AR4" s="51" t="s">
        <v>7</v>
      </c>
      <c r="AS4" s="51" t="s">
        <v>8</v>
      </c>
      <c r="AT4" s="61" t="s">
        <v>87</v>
      </c>
    </row>
    <row r="5" spans="3:46" x14ac:dyDescent="0.25">
      <c r="M5" s="53"/>
      <c r="N5" s="14"/>
      <c r="O5" s="161" t="s">
        <v>110</v>
      </c>
      <c r="P5" s="161"/>
      <c r="Q5" s="161"/>
      <c r="S5" s="53"/>
      <c r="T5" s="259" t="s">
        <v>85</v>
      </c>
      <c r="U5" s="260"/>
      <c r="V5" s="259" t="s">
        <v>86</v>
      </c>
      <c r="W5" s="260"/>
      <c r="Y5" s="259" t="s">
        <v>0</v>
      </c>
      <c r="Z5" s="261"/>
      <c r="AA5" s="260"/>
      <c r="AC5" s="4"/>
      <c r="AD5" s="5"/>
      <c r="AE5" s="5"/>
      <c r="AF5" s="5"/>
      <c r="AG5" s="5"/>
      <c r="AH5" s="5"/>
      <c r="AI5" s="5"/>
      <c r="AJ5" s="13"/>
      <c r="AM5" s="4"/>
      <c r="AN5" s="5"/>
      <c r="AO5" s="5"/>
      <c r="AP5" s="5"/>
      <c r="AQ5" s="5"/>
      <c r="AR5" s="5"/>
      <c r="AS5" s="5"/>
      <c r="AT5" s="13"/>
    </row>
    <row r="6" spans="3:46" x14ac:dyDescent="0.25">
      <c r="M6" s="53"/>
      <c r="N6" s="14"/>
      <c r="O6" s="45" t="s">
        <v>27</v>
      </c>
      <c r="P6" s="46">
        <v>8</v>
      </c>
      <c r="Q6" t="s">
        <v>102</v>
      </c>
      <c r="S6" s="53"/>
      <c r="T6" s="173" t="s">
        <v>27</v>
      </c>
      <c r="U6" s="174">
        <f>VLOOKUP(F14,AC6:AJ55,2,FALSE)</f>
        <v>3.8</v>
      </c>
      <c r="V6" s="173" t="s">
        <v>27</v>
      </c>
      <c r="W6" s="175">
        <f>VLOOKUP(H14,AM6:AT67,2,FALSE)</f>
        <v>3.1150000000000002</v>
      </c>
      <c r="Y6" s="180"/>
      <c r="Z6" s="173" t="s">
        <v>129</v>
      </c>
      <c r="AA6" s="173" t="s">
        <v>64</v>
      </c>
      <c r="AC6" s="7" t="s">
        <v>33</v>
      </c>
      <c r="AD6" s="8">
        <v>1</v>
      </c>
      <c r="AE6" s="8">
        <v>1</v>
      </c>
      <c r="AF6" s="8">
        <v>1</v>
      </c>
      <c r="AG6" s="9">
        <v>1</v>
      </c>
      <c r="AH6" s="9">
        <v>1</v>
      </c>
      <c r="AI6" s="8">
        <v>1</v>
      </c>
      <c r="AJ6" s="13">
        <v>1</v>
      </c>
      <c r="AM6" s="7" t="s">
        <v>33</v>
      </c>
      <c r="AN6" s="8">
        <v>1</v>
      </c>
      <c r="AO6" s="8">
        <v>1</v>
      </c>
      <c r="AP6" s="8">
        <v>1</v>
      </c>
      <c r="AQ6" s="9">
        <v>1</v>
      </c>
      <c r="AR6" s="9">
        <v>1</v>
      </c>
      <c r="AS6" s="8">
        <v>1</v>
      </c>
      <c r="AT6" s="13">
        <v>1</v>
      </c>
    </row>
    <row r="7" spans="3:46" x14ac:dyDescent="0.25">
      <c r="M7" s="53"/>
      <c r="N7" s="14"/>
      <c r="O7" s="47" t="s">
        <v>28</v>
      </c>
      <c r="P7" s="48">
        <v>7.8</v>
      </c>
      <c r="Q7" t="s">
        <v>102</v>
      </c>
      <c r="S7" s="53"/>
      <c r="T7" s="173" t="s">
        <v>28</v>
      </c>
      <c r="U7" s="174">
        <f>VLOOKUP(F14,AC6:AJ55,3,FALSE)</f>
        <v>2.12</v>
      </c>
      <c r="V7" s="173" t="s">
        <v>28</v>
      </c>
      <c r="W7" s="174">
        <f>VLOOKUP(H14,AM6:AT67,3,FALSE)</f>
        <v>1.772</v>
      </c>
      <c r="Y7" s="243" t="s">
        <v>79</v>
      </c>
      <c r="Z7" s="173">
        <f>VLOOKUP(D11,AI61:AJ76,2,FALSE)</f>
        <v>900</v>
      </c>
      <c r="AA7" s="173">
        <f>Z7/60</f>
        <v>15</v>
      </c>
      <c r="AC7" s="11" t="s">
        <v>25</v>
      </c>
      <c r="AD7" s="9">
        <f>P6</f>
        <v>8</v>
      </c>
      <c r="AE7" s="9">
        <f>P7</f>
        <v>7.8</v>
      </c>
      <c r="AF7" s="9">
        <f>P8</f>
        <v>5.6</v>
      </c>
      <c r="AG7" s="9">
        <f>P9</f>
        <v>3.2</v>
      </c>
      <c r="AH7" s="9">
        <f>P10</f>
        <v>1</v>
      </c>
      <c r="AI7" s="9">
        <f>P11</f>
        <v>7.8</v>
      </c>
      <c r="AJ7" s="13">
        <f>P12</f>
        <v>3.99</v>
      </c>
      <c r="AM7" s="11" t="s">
        <v>25</v>
      </c>
      <c r="AN7" s="9">
        <f>P15</f>
        <v>5.2</v>
      </c>
      <c r="AO7" s="9">
        <f>P16</f>
        <v>3.7</v>
      </c>
      <c r="AP7" s="9">
        <f>P17</f>
        <v>2.2000000000000002</v>
      </c>
      <c r="AQ7" s="9">
        <f>P18</f>
        <v>1.8</v>
      </c>
      <c r="AR7" s="9">
        <f>P19</f>
        <v>1</v>
      </c>
      <c r="AS7" s="9">
        <f>P20</f>
        <v>5</v>
      </c>
      <c r="AT7" s="13">
        <f>P21</f>
        <v>1</v>
      </c>
    </row>
    <row r="8" spans="3:46" x14ac:dyDescent="0.25">
      <c r="H8" s="14"/>
      <c r="I8" s="14"/>
      <c r="M8" s="158" t="str">
        <f>IF(F14="Vlastní převodovka","Zde přepsat -&gt;","")</f>
        <v/>
      </c>
      <c r="N8" s="159"/>
      <c r="O8" s="47" t="s">
        <v>29</v>
      </c>
      <c r="P8" s="48">
        <v>5.6</v>
      </c>
      <c r="Q8" t="s">
        <v>102</v>
      </c>
      <c r="S8" s="53"/>
      <c r="T8" s="173" t="str">
        <f>IF(U8=99999,"-","3°")</f>
        <v>3°</v>
      </c>
      <c r="U8" s="174">
        <f>VLOOKUP(F14,AC6:AJ55,4,FALSE)</f>
        <v>1.41</v>
      </c>
      <c r="V8" s="173" t="str">
        <f>IF(W8=99999,"-","3°")</f>
        <v>3°</v>
      </c>
      <c r="W8" s="174">
        <f>VLOOKUP(H14,AM6:AT67,4,FALSE)</f>
        <v>1</v>
      </c>
      <c r="Y8" s="243" t="s">
        <v>66</v>
      </c>
      <c r="Z8" s="173">
        <f>VLOOKUP(D12,AI76:AJ156,2,FALSE)</f>
        <v>4400</v>
      </c>
      <c r="AA8" s="173">
        <f>Z8/60</f>
        <v>73.333333333333329</v>
      </c>
      <c r="AC8" s="141" t="s">
        <v>39</v>
      </c>
      <c r="AD8" s="142">
        <v>4.79</v>
      </c>
      <c r="AE8" s="142">
        <v>2.68</v>
      </c>
      <c r="AF8" s="143">
        <v>1.6539999999999999</v>
      </c>
      <c r="AG8" s="143">
        <v>1</v>
      </c>
      <c r="AH8" s="143">
        <v>99999</v>
      </c>
      <c r="AI8" s="142">
        <v>5.61</v>
      </c>
      <c r="AJ8" s="127">
        <v>1</v>
      </c>
      <c r="AM8" s="141" t="s">
        <v>39</v>
      </c>
      <c r="AN8" s="142">
        <v>4.79</v>
      </c>
      <c r="AO8" s="142">
        <v>2.68</v>
      </c>
      <c r="AP8" s="143">
        <v>1.6539999999999999</v>
      </c>
      <c r="AQ8" s="143">
        <v>1</v>
      </c>
      <c r="AR8" s="143">
        <v>99999</v>
      </c>
      <c r="AS8" s="142">
        <v>5.61</v>
      </c>
      <c r="AT8" s="127">
        <v>1</v>
      </c>
    </row>
    <row r="9" spans="3:46" x14ac:dyDescent="0.25">
      <c r="D9" s="27" t="s">
        <v>68</v>
      </c>
      <c r="E9" s="27"/>
      <c r="H9" s="14"/>
      <c r="I9" s="14"/>
      <c r="M9" s="54"/>
      <c r="N9" s="40"/>
      <c r="O9" s="47" t="s">
        <v>30</v>
      </c>
      <c r="P9" s="48">
        <v>3.2</v>
      </c>
      <c r="Q9" t="s">
        <v>102</v>
      </c>
      <c r="S9" s="53"/>
      <c r="T9" s="173" t="str">
        <f>IF(U9=99999,"-","4°")</f>
        <v>4°</v>
      </c>
      <c r="U9" s="174">
        <f>VLOOKUP(F14,AC6:AJ55,5,FALSE)</f>
        <v>0.92700000000000005</v>
      </c>
      <c r="V9" s="173" t="str">
        <f>IF(W9=99999,"-","4°")</f>
        <v>-</v>
      </c>
      <c r="W9" s="174">
        <f>VLOOKUP(H14,AM6:AT67,5,FALSE)</f>
        <v>99999</v>
      </c>
      <c r="AC9" s="125" t="s">
        <v>16</v>
      </c>
      <c r="AD9" s="138">
        <v>4.3760000000000003</v>
      </c>
      <c r="AE9" s="138">
        <v>2.4550000000000001</v>
      </c>
      <c r="AF9" s="138">
        <v>1.5144</v>
      </c>
      <c r="AG9" s="137">
        <v>1</v>
      </c>
      <c r="AH9" s="137">
        <v>99999</v>
      </c>
      <c r="AI9" s="138">
        <v>3.66</v>
      </c>
      <c r="AJ9" s="146">
        <v>1</v>
      </c>
      <c r="AM9" s="125" t="s">
        <v>16</v>
      </c>
      <c r="AN9" s="138">
        <v>4.3760000000000003</v>
      </c>
      <c r="AO9" s="138">
        <v>2.4550000000000001</v>
      </c>
      <c r="AP9" s="138">
        <v>1.5144</v>
      </c>
      <c r="AQ9" s="137">
        <v>1</v>
      </c>
      <c r="AR9" s="137">
        <v>99999</v>
      </c>
      <c r="AS9" s="138">
        <v>3.66</v>
      </c>
      <c r="AT9" s="146">
        <v>1</v>
      </c>
    </row>
    <row r="10" spans="3:46" x14ac:dyDescent="0.25">
      <c r="M10" s="53"/>
      <c r="N10" s="14"/>
      <c r="O10" s="47" t="s">
        <v>31</v>
      </c>
      <c r="P10" s="48">
        <v>1</v>
      </c>
      <c r="Q10" t="s">
        <v>102</v>
      </c>
      <c r="R10" s="24"/>
      <c r="S10" s="53"/>
      <c r="T10" s="173" t="str">
        <f>IF(U10=99999,"-","5°")</f>
        <v>5°</v>
      </c>
      <c r="U10" s="174">
        <f>VLOOKUP(F14,AC6:AJ55,6,FALSE)</f>
        <v>0.71699999999999997</v>
      </c>
      <c r="V10" s="173" t="str">
        <f>IF(W10=99999,"-","5°")</f>
        <v>-</v>
      </c>
      <c r="W10" s="174">
        <f>VLOOKUP(H14,AM6:AT67,6,FALSE)</f>
        <v>99999</v>
      </c>
      <c r="Y10" s="221" t="s">
        <v>174</v>
      </c>
      <c r="AC10" s="125" t="s">
        <v>17</v>
      </c>
      <c r="AD10" s="138">
        <v>4.92</v>
      </c>
      <c r="AE10" s="138">
        <v>2.6819999999999999</v>
      </c>
      <c r="AF10" s="138">
        <v>1.6539999999999999</v>
      </c>
      <c r="AG10" s="137">
        <v>1</v>
      </c>
      <c r="AH10" s="137">
        <v>99999</v>
      </c>
      <c r="AI10" s="138">
        <v>5.08</v>
      </c>
      <c r="AJ10" s="146">
        <v>1</v>
      </c>
      <c r="AM10" s="125" t="s">
        <v>17</v>
      </c>
      <c r="AN10" s="138">
        <v>4.92</v>
      </c>
      <c r="AO10" s="138">
        <v>2.6819999999999999</v>
      </c>
      <c r="AP10" s="138">
        <v>1.6539999999999999</v>
      </c>
      <c r="AQ10" s="137">
        <v>1</v>
      </c>
      <c r="AR10" s="137">
        <v>99999</v>
      </c>
      <c r="AS10" s="138">
        <v>5.08</v>
      </c>
      <c r="AT10" s="146">
        <v>1</v>
      </c>
    </row>
    <row r="11" spans="3:46" x14ac:dyDescent="0.25">
      <c r="C11" s="25" t="s">
        <v>69</v>
      </c>
      <c r="D11" s="32">
        <v>900</v>
      </c>
      <c r="E11" s="26" t="s">
        <v>26</v>
      </c>
      <c r="M11" s="53"/>
      <c r="N11" s="14"/>
      <c r="O11" s="47" t="s">
        <v>32</v>
      </c>
      <c r="P11" s="48">
        <v>7.8</v>
      </c>
      <c r="Q11" s="24" t="s">
        <v>102</v>
      </c>
      <c r="R11" s="24"/>
      <c r="S11" s="53"/>
      <c r="T11" s="173" t="str">
        <f>IF(U11=99999,"-","R")</f>
        <v>R</v>
      </c>
      <c r="U11" s="174">
        <f>VLOOKUP(F14,AC6:AJ55,7,FALSE)</f>
        <v>2.927</v>
      </c>
      <c r="V11" s="173" t="str">
        <f>IF(W11=99999,"-","R")</f>
        <v>R</v>
      </c>
      <c r="W11" s="174">
        <f>VLOOKUP(H14,AM6:AT67,7,FALSE)</f>
        <v>3.738</v>
      </c>
      <c r="Y11" s="218">
        <f>VLOOKUP(G21,AM73:AN77,2,FALSE)</f>
        <v>1</v>
      </c>
      <c r="AC11" s="141" t="s">
        <v>206</v>
      </c>
      <c r="AD11" s="142">
        <v>5.6</v>
      </c>
      <c r="AE11" s="142">
        <v>2.6</v>
      </c>
      <c r="AF11" s="143">
        <v>1.4</v>
      </c>
      <c r="AG11" s="143">
        <v>1</v>
      </c>
      <c r="AH11" s="143">
        <v>99999</v>
      </c>
      <c r="AI11" s="142">
        <v>6.1</v>
      </c>
      <c r="AJ11" s="127">
        <v>1</v>
      </c>
      <c r="AM11" s="141" t="s">
        <v>206</v>
      </c>
      <c r="AN11" s="142">
        <v>5.6</v>
      </c>
      <c r="AO11" s="142">
        <v>2.6</v>
      </c>
      <c r="AP11" s="143">
        <v>1.4</v>
      </c>
      <c r="AQ11" s="143">
        <v>1</v>
      </c>
      <c r="AR11" s="143">
        <v>99999</v>
      </c>
      <c r="AS11" s="142">
        <v>6.1</v>
      </c>
      <c r="AT11" s="127">
        <v>1</v>
      </c>
    </row>
    <row r="12" spans="3:46" x14ac:dyDescent="0.25">
      <c r="C12" s="25" t="s">
        <v>70</v>
      </c>
      <c r="D12" s="32">
        <v>4400</v>
      </c>
      <c r="E12" s="26" t="s">
        <v>26</v>
      </c>
      <c r="H12" s="27"/>
      <c r="I12" s="27"/>
      <c r="M12" s="158" t="str">
        <f>IF(G15="Vlastní ","Zde přepsat -&gt;","")</f>
        <v/>
      </c>
      <c r="N12" s="14"/>
      <c r="O12" s="64" t="s">
        <v>112</v>
      </c>
      <c r="P12" s="68">
        <v>3.99</v>
      </c>
      <c r="Q12" s="24" t="s">
        <v>102</v>
      </c>
      <c r="S12" s="53"/>
      <c r="T12" s="176" t="s">
        <v>87</v>
      </c>
      <c r="U12" s="177">
        <f>VLOOKUP(G15,AC62:AD73,2,FALSE)</f>
        <v>3.895</v>
      </c>
      <c r="V12" s="176" t="s">
        <v>87</v>
      </c>
      <c r="W12" s="178">
        <f>VLOOKUP(I15,AC85:AD96,2,FALSE)</f>
        <v>1</v>
      </c>
      <c r="Y12" s="218"/>
      <c r="AC12" s="141" t="s">
        <v>265</v>
      </c>
      <c r="AD12" s="142">
        <v>6.2679999999999998</v>
      </c>
      <c r="AE12" s="142">
        <v>3.4359999999999999</v>
      </c>
      <c r="AF12" s="143">
        <v>2.0150000000000001</v>
      </c>
      <c r="AG12" s="143">
        <v>1.393</v>
      </c>
      <c r="AH12" s="143">
        <v>1</v>
      </c>
      <c r="AI12" s="142">
        <v>5.5709999999999997</v>
      </c>
      <c r="AJ12" s="127">
        <v>1</v>
      </c>
      <c r="AM12" s="141" t="s">
        <v>265</v>
      </c>
      <c r="AN12" s="142">
        <v>6.2679999999999998</v>
      </c>
      <c r="AO12" s="142">
        <v>3.4359999999999999</v>
      </c>
      <c r="AP12" s="143">
        <v>2.0150000000000001</v>
      </c>
      <c r="AQ12" s="143">
        <v>1.393</v>
      </c>
      <c r="AR12" s="143">
        <v>1</v>
      </c>
      <c r="AS12" s="142">
        <v>5.5709999999999997</v>
      </c>
      <c r="AT12" s="127">
        <v>1</v>
      </c>
    </row>
    <row r="13" spans="3:46" x14ac:dyDescent="0.25">
      <c r="F13" s="267" t="s">
        <v>83</v>
      </c>
      <c r="G13" s="267"/>
      <c r="H13" s="258" t="s">
        <v>84</v>
      </c>
      <c r="I13" s="258"/>
      <c r="M13" s="53"/>
      <c r="R13" s="281"/>
      <c r="S13" s="53"/>
      <c r="T13" s="179"/>
      <c r="U13" s="179">
        <f>VLOOKUP(H29,T6:U11,2,FALSE)</f>
        <v>3.8</v>
      </c>
      <c r="V13" s="179"/>
      <c r="W13" s="179">
        <f>VLOOKUP(J29,V6:W11,2,FALSE)</f>
        <v>1.772</v>
      </c>
      <c r="AC13" s="141" t="s">
        <v>207</v>
      </c>
      <c r="AD13" s="142">
        <v>5.4</v>
      </c>
      <c r="AE13" s="142">
        <v>3.1</v>
      </c>
      <c r="AF13" s="143">
        <v>2</v>
      </c>
      <c r="AG13" s="143">
        <v>1.4</v>
      </c>
      <c r="AH13" s="143">
        <v>1</v>
      </c>
      <c r="AI13" s="142">
        <v>4.8</v>
      </c>
      <c r="AJ13" s="127">
        <v>1</v>
      </c>
      <c r="AM13" s="141" t="s">
        <v>207</v>
      </c>
      <c r="AN13" s="142">
        <v>5.4</v>
      </c>
      <c r="AO13" s="142">
        <v>3.1</v>
      </c>
      <c r="AP13" s="143">
        <v>2</v>
      </c>
      <c r="AQ13" s="143">
        <v>1.4</v>
      </c>
      <c r="AR13" s="143">
        <v>1</v>
      </c>
      <c r="AS13" s="142">
        <v>4.8</v>
      </c>
      <c r="AT13" s="127">
        <v>1</v>
      </c>
    </row>
    <row r="14" spans="3:46" x14ac:dyDescent="0.25">
      <c r="F14" s="255" t="s">
        <v>106</v>
      </c>
      <c r="G14" s="257"/>
      <c r="H14" s="255" t="s">
        <v>14</v>
      </c>
      <c r="I14" s="257"/>
      <c r="J14" s="30" t="s">
        <v>73</v>
      </c>
      <c r="M14" s="53"/>
      <c r="N14" s="14"/>
      <c r="O14" s="161" t="s">
        <v>111</v>
      </c>
      <c r="P14" s="161"/>
      <c r="Q14" s="161"/>
      <c r="S14" s="53"/>
      <c r="AC14" s="141" t="s">
        <v>208</v>
      </c>
      <c r="AD14" s="142">
        <v>6.27</v>
      </c>
      <c r="AE14" s="142">
        <v>3.44</v>
      </c>
      <c r="AF14" s="143">
        <v>2.2000000000000002</v>
      </c>
      <c r="AG14" s="143">
        <v>1.39</v>
      </c>
      <c r="AH14" s="143">
        <v>1</v>
      </c>
      <c r="AI14" s="142">
        <v>5.57</v>
      </c>
      <c r="AJ14" s="127">
        <v>1</v>
      </c>
      <c r="AM14" s="141" t="s">
        <v>208</v>
      </c>
      <c r="AN14" s="142">
        <v>6.27</v>
      </c>
      <c r="AO14" s="142">
        <v>3.44</v>
      </c>
      <c r="AP14" s="143">
        <v>2.2000000000000002</v>
      </c>
      <c r="AQ14" s="143">
        <v>1.39</v>
      </c>
      <c r="AR14" s="143">
        <v>1</v>
      </c>
      <c r="AS14" s="142">
        <v>5.57</v>
      </c>
      <c r="AT14" s="127">
        <v>1</v>
      </c>
    </row>
    <row r="15" spans="3:46" x14ac:dyDescent="0.25">
      <c r="F15" s="30" t="s">
        <v>244</v>
      </c>
      <c r="G15" s="197" t="s">
        <v>251</v>
      </c>
      <c r="H15" s="30" t="s">
        <v>244</v>
      </c>
      <c r="I15" s="200" t="s">
        <v>246</v>
      </c>
      <c r="J15" s="31" t="s">
        <v>195</v>
      </c>
      <c r="M15" s="53"/>
      <c r="N15" s="14"/>
      <c r="O15" s="45" t="s">
        <v>27</v>
      </c>
      <c r="P15" s="46">
        <v>5.2</v>
      </c>
      <c r="Q15" t="s">
        <v>102</v>
      </c>
      <c r="S15" s="53"/>
      <c r="AC15" s="141" t="s">
        <v>209</v>
      </c>
      <c r="AD15" s="142">
        <v>1.7142900000000001</v>
      </c>
      <c r="AE15" s="142">
        <v>1.35714</v>
      </c>
      <c r="AF15" s="143">
        <v>1.14286</v>
      </c>
      <c r="AG15" s="143">
        <v>1</v>
      </c>
      <c r="AH15" s="143">
        <v>99999</v>
      </c>
      <c r="AI15" s="142">
        <v>99999</v>
      </c>
      <c r="AJ15" s="127">
        <v>1</v>
      </c>
      <c r="AM15" s="141" t="s">
        <v>209</v>
      </c>
      <c r="AN15" s="142">
        <v>1.7142900000000001</v>
      </c>
      <c r="AO15" s="142">
        <v>1.35714</v>
      </c>
      <c r="AP15" s="143">
        <v>1.14286</v>
      </c>
      <c r="AQ15" s="143">
        <v>1</v>
      </c>
      <c r="AR15" s="143">
        <v>99999</v>
      </c>
      <c r="AS15" s="142">
        <v>99999</v>
      </c>
      <c r="AT15" s="127">
        <v>1</v>
      </c>
    </row>
    <row r="16" spans="3:46" x14ac:dyDescent="0.25">
      <c r="J16" s="29">
        <f>VLOOKUP(J15,AF100:AG138,2,FALSE)</f>
        <v>4.4400000000000004</v>
      </c>
      <c r="M16" s="53"/>
      <c r="N16" s="14"/>
      <c r="O16" s="47" t="s">
        <v>28</v>
      </c>
      <c r="P16" s="48">
        <v>3.7</v>
      </c>
      <c r="Q16" t="s">
        <v>102</v>
      </c>
      <c r="S16" s="53"/>
      <c r="AC16" s="141" t="s">
        <v>209</v>
      </c>
      <c r="AD16" s="142">
        <v>3.42</v>
      </c>
      <c r="AE16" s="142">
        <v>1.84</v>
      </c>
      <c r="AF16" s="143">
        <v>1.25</v>
      </c>
      <c r="AG16" s="143">
        <v>1</v>
      </c>
      <c r="AH16" s="143">
        <v>99999</v>
      </c>
      <c r="AI16" s="142">
        <v>99999</v>
      </c>
      <c r="AJ16" s="127">
        <v>1</v>
      </c>
      <c r="AM16" s="141" t="s">
        <v>209</v>
      </c>
      <c r="AN16" s="142">
        <v>3.42</v>
      </c>
      <c r="AO16" s="142">
        <v>1.84</v>
      </c>
      <c r="AP16" s="143">
        <v>1.25</v>
      </c>
      <c r="AQ16" s="143">
        <v>1</v>
      </c>
      <c r="AR16" s="143">
        <v>99999</v>
      </c>
      <c r="AS16" s="142">
        <v>99999</v>
      </c>
      <c r="AT16" s="127">
        <v>1</v>
      </c>
    </row>
    <row r="17" spans="3:46" x14ac:dyDescent="0.25">
      <c r="M17" s="158" t="str">
        <f>IF(H14="Vlastní převodovka","Zde přepsat -&gt;","")</f>
        <v/>
      </c>
      <c r="N17" s="159"/>
      <c r="O17" s="47" t="s">
        <v>29</v>
      </c>
      <c r="P17" s="48">
        <v>2.2000000000000002</v>
      </c>
      <c r="Q17" t="s">
        <v>102</v>
      </c>
      <c r="S17" s="53"/>
      <c r="AC17" s="141" t="s">
        <v>210</v>
      </c>
      <c r="AD17" s="142">
        <v>5.95</v>
      </c>
      <c r="AE17" s="142">
        <v>3.7</v>
      </c>
      <c r="AF17" s="143">
        <v>1.78</v>
      </c>
      <c r="AG17" s="143">
        <v>1</v>
      </c>
      <c r="AH17" s="143">
        <v>99999</v>
      </c>
      <c r="AI17" s="142">
        <v>5.59</v>
      </c>
      <c r="AJ17" s="127">
        <v>1</v>
      </c>
      <c r="AM17" s="141" t="s">
        <v>210</v>
      </c>
      <c r="AN17" s="142">
        <v>5.95</v>
      </c>
      <c r="AO17" s="142">
        <v>3.7</v>
      </c>
      <c r="AP17" s="143">
        <v>1.78</v>
      </c>
      <c r="AQ17" s="143">
        <v>1</v>
      </c>
      <c r="AR17" s="143">
        <v>99999</v>
      </c>
      <c r="AS17" s="142">
        <v>5.59</v>
      </c>
      <c r="AT17" s="127">
        <v>1</v>
      </c>
    </row>
    <row r="18" spans="3:46" x14ac:dyDescent="0.25">
      <c r="M18" s="54"/>
      <c r="N18" s="40"/>
      <c r="O18" s="47" t="s">
        <v>30</v>
      </c>
      <c r="P18" s="48">
        <v>1.8</v>
      </c>
      <c r="Q18" t="s">
        <v>102</v>
      </c>
      <c r="S18" s="53"/>
      <c r="AC18" s="141" t="s">
        <v>211</v>
      </c>
      <c r="AD18" s="142">
        <v>3.25</v>
      </c>
      <c r="AE18" s="142">
        <v>2.0670000000000002</v>
      </c>
      <c r="AF18" s="143">
        <v>1.3</v>
      </c>
      <c r="AG18" s="143">
        <v>0.872</v>
      </c>
      <c r="AH18" s="143">
        <v>99999</v>
      </c>
      <c r="AI18" s="142">
        <v>4.024</v>
      </c>
      <c r="AJ18" s="127">
        <v>1</v>
      </c>
      <c r="AM18" s="141" t="s">
        <v>211</v>
      </c>
      <c r="AN18" s="142">
        <v>3.25</v>
      </c>
      <c r="AO18" s="142">
        <v>2.0670000000000002</v>
      </c>
      <c r="AP18" s="143">
        <v>1.3</v>
      </c>
      <c r="AQ18" s="143">
        <v>0.872</v>
      </c>
      <c r="AR18" s="143">
        <v>99999</v>
      </c>
      <c r="AS18" s="142">
        <v>4.024</v>
      </c>
      <c r="AT18" s="127">
        <v>1</v>
      </c>
    </row>
    <row r="19" spans="3:46" x14ac:dyDescent="0.25">
      <c r="J19" s="70" t="s">
        <v>74</v>
      </c>
      <c r="K19" s="35"/>
      <c r="M19" s="53"/>
      <c r="N19" s="14"/>
      <c r="O19" s="47" t="s">
        <v>31</v>
      </c>
      <c r="P19" s="48">
        <v>1</v>
      </c>
      <c r="Q19" t="s">
        <v>102</v>
      </c>
      <c r="R19" s="24"/>
      <c r="S19" s="53"/>
      <c r="AC19" s="125" t="s">
        <v>22</v>
      </c>
      <c r="AD19" s="138">
        <v>3.36</v>
      </c>
      <c r="AE19" s="137">
        <v>1.81</v>
      </c>
      <c r="AF19" s="138">
        <v>1.26</v>
      </c>
      <c r="AG19" s="137">
        <v>1</v>
      </c>
      <c r="AH19" s="137">
        <v>0.82</v>
      </c>
      <c r="AI19" s="138">
        <v>3.5</v>
      </c>
      <c r="AJ19" s="146">
        <v>1</v>
      </c>
      <c r="AM19" s="125" t="s">
        <v>22</v>
      </c>
      <c r="AN19" s="138">
        <v>3.36</v>
      </c>
      <c r="AO19" s="137">
        <v>1.81</v>
      </c>
      <c r="AP19" s="138">
        <v>1.26</v>
      </c>
      <c r="AQ19" s="137">
        <v>1</v>
      </c>
      <c r="AR19" s="137">
        <v>0.82</v>
      </c>
      <c r="AS19" s="138">
        <v>3.5</v>
      </c>
      <c r="AT19" s="146">
        <v>1</v>
      </c>
    </row>
    <row r="20" spans="3:46" x14ac:dyDescent="0.25">
      <c r="G20" s="236" t="s">
        <v>272</v>
      </c>
      <c r="J20" s="38" t="s">
        <v>56</v>
      </c>
      <c r="K20" s="14"/>
      <c r="M20" s="53"/>
      <c r="N20" s="14"/>
      <c r="O20" s="47" t="s">
        <v>32</v>
      </c>
      <c r="P20" s="48">
        <v>5</v>
      </c>
      <c r="Q20" s="24" t="s">
        <v>102</v>
      </c>
      <c r="R20" s="24"/>
      <c r="S20" s="53"/>
      <c r="AC20" s="141" t="s">
        <v>212</v>
      </c>
      <c r="AD20" s="142">
        <v>3.65</v>
      </c>
      <c r="AE20" s="142">
        <v>1.97</v>
      </c>
      <c r="AF20" s="143">
        <v>1.37</v>
      </c>
      <c r="AG20" s="143">
        <v>1</v>
      </c>
      <c r="AH20" s="143">
        <v>99999</v>
      </c>
      <c r="AI20" s="142">
        <v>3.36</v>
      </c>
      <c r="AJ20" s="127">
        <v>1</v>
      </c>
      <c r="AM20" s="141" t="s">
        <v>212</v>
      </c>
      <c r="AN20" s="142">
        <v>3.65</v>
      </c>
      <c r="AO20" s="142">
        <v>1.97</v>
      </c>
      <c r="AP20" s="143">
        <v>1.37</v>
      </c>
      <c r="AQ20" s="143">
        <v>1</v>
      </c>
      <c r="AR20" s="143">
        <v>99999</v>
      </c>
      <c r="AS20" s="142">
        <v>3.36</v>
      </c>
      <c r="AT20" s="127">
        <v>1</v>
      </c>
    </row>
    <row r="21" spans="3:46" x14ac:dyDescent="0.25">
      <c r="F21" s="214"/>
      <c r="G21" s="235" t="s">
        <v>273</v>
      </c>
      <c r="J21" s="36">
        <f>VLOOKUP(J20,AF62:AG85,2,FALSE)</f>
        <v>2.04</v>
      </c>
      <c r="M21" s="158" t="str">
        <f>IF(I15="Vlastní ","Zde přepsat -&gt;","")</f>
        <v/>
      </c>
      <c r="O21" s="64" t="s">
        <v>112</v>
      </c>
      <c r="P21" s="68">
        <v>1</v>
      </c>
      <c r="Q21" s="24" t="s">
        <v>102</v>
      </c>
      <c r="S21" s="283"/>
      <c r="AC21" s="145" t="s">
        <v>9</v>
      </c>
      <c r="AD21" s="138">
        <v>3.1150000000000002</v>
      </c>
      <c r="AE21" s="138">
        <v>1.772</v>
      </c>
      <c r="AF21" s="138">
        <v>1</v>
      </c>
      <c r="AG21" s="137">
        <v>99999</v>
      </c>
      <c r="AH21" s="137">
        <v>99999</v>
      </c>
      <c r="AI21" s="138">
        <v>3.78</v>
      </c>
      <c r="AJ21" s="146">
        <v>1</v>
      </c>
      <c r="AM21" s="145" t="s">
        <v>9</v>
      </c>
      <c r="AN21" s="138">
        <v>3.1150000000000002</v>
      </c>
      <c r="AO21" s="138">
        <v>1.772</v>
      </c>
      <c r="AP21" s="138">
        <v>1</v>
      </c>
      <c r="AQ21" s="137">
        <v>99999</v>
      </c>
      <c r="AR21" s="137">
        <v>99999</v>
      </c>
      <c r="AS21" s="138">
        <v>3.78</v>
      </c>
      <c r="AT21" s="146">
        <v>1</v>
      </c>
    </row>
    <row r="22" spans="3:46" x14ac:dyDescent="0.25">
      <c r="M22" s="53"/>
      <c r="R22" s="110"/>
      <c r="S22" s="53"/>
      <c r="AC22" s="141" t="s">
        <v>213</v>
      </c>
      <c r="AD22" s="142">
        <v>8.6199999999999992</v>
      </c>
      <c r="AE22" s="142">
        <v>4.5599999999999996</v>
      </c>
      <c r="AF22" s="142">
        <v>2.62</v>
      </c>
      <c r="AG22" s="142">
        <v>1.59</v>
      </c>
      <c r="AH22" s="142">
        <v>1</v>
      </c>
      <c r="AI22" s="142">
        <v>6.38</v>
      </c>
      <c r="AJ22" s="127">
        <v>1</v>
      </c>
      <c r="AM22" s="141" t="s">
        <v>213</v>
      </c>
      <c r="AN22" s="142">
        <v>8.6199999999999992</v>
      </c>
      <c r="AO22" s="142">
        <v>4.5599999999999996</v>
      </c>
      <c r="AP22" s="142">
        <v>2.62</v>
      </c>
      <c r="AQ22" s="142">
        <v>1.59</v>
      </c>
      <c r="AR22" s="142">
        <v>1</v>
      </c>
      <c r="AS22" s="142">
        <v>6.38</v>
      </c>
      <c r="AT22" s="127">
        <v>1</v>
      </c>
    </row>
    <row r="23" spans="3:46" x14ac:dyDescent="0.25">
      <c r="J23" s="35"/>
      <c r="M23" s="53"/>
      <c r="N23" s="14"/>
      <c r="O23" s="62" t="s">
        <v>89</v>
      </c>
      <c r="P23" s="62"/>
      <c r="Q23" s="62"/>
      <c r="S23" s="284"/>
      <c r="T23" s="110"/>
      <c r="AC23" s="125" t="s">
        <v>24</v>
      </c>
      <c r="AD23" s="139">
        <v>15.667999999999999</v>
      </c>
      <c r="AE23" s="139">
        <v>8.7590000000000003</v>
      </c>
      <c r="AF23" s="139">
        <v>6.2649999999999997</v>
      </c>
      <c r="AG23" s="139">
        <v>4.9279999999999999</v>
      </c>
      <c r="AH23" s="137">
        <v>99999</v>
      </c>
      <c r="AI23" s="137">
        <v>99999</v>
      </c>
      <c r="AJ23" s="146">
        <v>1</v>
      </c>
      <c r="AM23" s="125" t="s">
        <v>24</v>
      </c>
      <c r="AN23" s="139">
        <v>15.667999999999999</v>
      </c>
      <c r="AO23" s="139">
        <v>8.7590000000000003</v>
      </c>
      <c r="AP23" s="139">
        <v>6.2649999999999997</v>
      </c>
      <c r="AQ23" s="139">
        <v>4.9279999999999999</v>
      </c>
      <c r="AR23" s="137">
        <v>99999</v>
      </c>
      <c r="AS23" s="137">
        <v>99999</v>
      </c>
      <c r="AT23" s="146">
        <v>1</v>
      </c>
    </row>
    <row r="24" spans="3:46" x14ac:dyDescent="0.25">
      <c r="J24" s="14"/>
      <c r="L24" s="14"/>
      <c r="M24" s="158" t="str">
        <f>IF(J15="Vlastní převod","Zde přepsat -&gt;","")</f>
        <v/>
      </c>
      <c r="N24" s="41"/>
      <c r="O24" t="s">
        <v>87</v>
      </c>
      <c r="P24" s="34">
        <v>4.8</v>
      </c>
      <c r="Q24" t="s">
        <v>102</v>
      </c>
      <c r="S24" s="53"/>
      <c r="AC24" s="125" t="s">
        <v>13</v>
      </c>
      <c r="AD24" s="138">
        <v>3.92</v>
      </c>
      <c r="AE24" s="138">
        <v>2.2599999999999998</v>
      </c>
      <c r="AF24" s="138">
        <v>1.44</v>
      </c>
      <c r="AG24" s="138">
        <v>0.97</v>
      </c>
      <c r="AH24" s="137">
        <v>99999</v>
      </c>
      <c r="AI24" s="138">
        <v>3.63</v>
      </c>
      <c r="AJ24" s="146">
        <v>1</v>
      </c>
      <c r="AM24" s="125" t="s">
        <v>13</v>
      </c>
      <c r="AN24" s="138">
        <v>3.92</v>
      </c>
      <c r="AO24" s="138">
        <v>2.2599999999999998</v>
      </c>
      <c r="AP24" s="138">
        <v>1.44</v>
      </c>
      <c r="AQ24" s="138">
        <v>0.97</v>
      </c>
      <c r="AR24" s="137">
        <v>99999</v>
      </c>
      <c r="AS24" s="138">
        <v>3.63</v>
      </c>
      <c r="AT24" s="146">
        <v>1</v>
      </c>
    </row>
    <row r="25" spans="3:46" x14ac:dyDescent="0.25">
      <c r="L25" s="14"/>
      <c r="M25" s="53"/>
      <c r="N25" s="14"/>
      <c r="R25" s="282"/>
      <c r="S25" s="53"/>
      <c r="AC25" s="141" t="s">
        <v>214</v>
      </c>
      <c r="AD25" s="142">
        <v>6.157</v>
      </c>
      <c r="AE25" s="142">
        <v>3.1480000000000001</v>
      </c>
      <c r="AF25" s="143">
        <v>1.7430000000000001</v>
      </c>
      <c r="AG25" s="143">
        <v>1.278</v>
      </c>
      <c r="AH25" s="143">
        <v>1</v>
      </c>
      <c r="AI25" s="142">
        <v>99999</v>
      </c>
      <c r="AJ25" s="127">
        <v>1</v>
      </c>
      <c r="AM25" s="141" t="s">
        <v>214</v>
      </c>
      <c r="AN25" s="142">
        <v>6.157</v>
      </c>
      <c r="AO25" s="142">
        <v>3.1480000000000001</v>
      </c>
      <c r="AP25" s="143">
        <v>1.7430000000000001</v>
      </c>
      <c r="AQ25" s="143">
        <v>1.278</v>
      </c>
      <c r="AR25" s="143">
        <v>1</v>
      </c>
      <c r="AS25" s="142">
        <v>99999</v>
      </c>
      <c r="AT25" s="127">
        <v>1</v>
      </c>
    </row>
    <row r="26" spans="3:46" x14ac:dyDescent="0.25">
      <c r="L26" s="14"/>
      <c r="M26" s="55"/>
      <c r="N26" s="14"/>
      <c r="O26" s="49" t="s">
        <v>91</v>
      </c>
      <c r="P26" s="49"/>
      <c r="Q26" s="49"/>
      <c r="S26" s="53"/>
      <c r="AC26" s="141" t="s">
        <v>215</v>
      </c>
      <c r="AD26" s="142">
        <v>6.71</v>
      </c>
      <c r="AE26" s="142">
        <v>3.242</v>
      </c>
      <c r="AF26" s="143">
        <v>2.1920000000000002</v>
      </c>
      <c r="AG26" s="143">
        <v>1.4670000000000001</v>
      </c>
      <c r="AH26" s="143">
        <v>1</v>
      </c>
      <c r="AI26" s="142">
        <v>5.6349999999999998</v>
      </c>
      <c r="AJ26" s="127">
        <v>1</v>
      </c>
      <c r="AM26" s="141" t="s">
        <v>215</v>
      </c>
      <c r="AN26" s="142">
        <v>6.71</v>
      </c>
      <c r="AO26" s="142">
        <v>3.242</v>
      </c>
      <c r="AP26" s="143">
        <v>2.1920000000000002</v>
      </c>
      <c r="AQ26" s="143">
        <v>1.4670000000000001</v>
      </c>
      <c r="AR26" s="143">
        <v>1</v>
      </c>
      <c r="AS26" s="142">
        <v>5.6349999999999998</v>
      </c>
      <c r="AT26" s="127">
        <v>1</v>
      </c>
    </row>
    <row r="27" spans="3:46" ht="15.75" thickBot="1" x14ac:dyDescent="0.3">
      <c r="C27" s="254" t="s">
        <v>145</v>
      </c>
      <c r="D27" s="254"/>
      <c r="E27" s="254"/>
      <c r="F27" s="254"/>
      <c r="H27" s="254" t="s">
        <v>144</v>
      </c>
      <c r="I27" s="254"/>
      <c r="J27" s="254"/>
      <c r="K27" s="254"/>
      <c r="L27" s="14"/>
      <c r="M27" s="158" t="str">
        <f>IF(J20="Vlastní rozměr","Zde přepsat -&gt;","")</f>
        <v/>
      </c>
      <c r="N27" s="41"/>
      <c r="O27" t="s">
        <v>114</v>
      </c>
      <c r="P27" s="52">
        <f>PI()*((2*(P29*P30/100))+(25.4*P31))/1000</f>
        <v>2.0546015954477248</v>
      </c>
      <c r="Q27" t="s">
        <v>92</v>
      </c>
      <c r="S27" s="285"/>
      <c r="T27" s="63"/>
      <c r="AC27" s="141" t="s">
        <v>200</v>
      </c>
      <c r="AD27" s="142">
        <v>3.9</v>
      </c>
      <c r="AE27" s="142">
        <v>2.2999999999999998</v>
      </c>
      <c r="AF27" s="143">
        <v>1.41</v>
      </c>
      <c r="AG27" s="143">
        <v>1</v>
      </c>
      <c r="AH27" s="143">
        <v>99999</v>
      </c>
      <c r="AI27" s="142">
        <v>3.66</v>
      </c>
      <c r="AJ27" s="127">
        <v>1</v>
      </c>
      <c r="AM27" s="141" t="s">
        <v>200</v>
      </c>
      <c r="AN27" s="142">
        <v>3.9</v>
      </c>
      <c r="AO27" s="142">
        <v>2.2999999999999998</v>
      </c>
      <c r="AP27" s="143">
        <v>1.41</v>
      </c>
      <c r="AQ27" s="143">
        <v>1</v>
      </c>
      <c r="AR27" s="143">
        <v>99999</v>
      </c>
      <c r="AS27" s="142">
        <v>3.66</v>
      </c>
      <c r="AT27" s="127">
        <v>1</v>
      </c>
    </row>
    <row r="28" spans="3:46" x14ac:dyDescent="0.25">
      <c r="H28" s="102" t="s">
        <v>103</v>
      </c>
      <c r="I28" s="102"/>
      <c r="J28" s="102" t="s">
        <v>125</v>
      </c>
      <c r="L28" s="14"/>
      <c r="M28" s="53"/>
      <c r="N28" s="14"/>
      <c r="S28" s="53"/>
      <c r="AC28" s="141" t="s">
        <v>216</v>
      </c>
      <c r="AD28" s="142">
        <v>6</v>
      </c>
      <c r="AE28" s="142">
        <v>3.25</v>
      </c>
      <c r="AF28" s="143">
        <v>1.75</v>
      </c>
      <c r="AG28" s="143">
        <v>1.25</v>
      </c>
      <c r="AH28" s="143">
        <v>1</v>
      </c>
      <c r="AI28" s="142">
        <v>5</v>
      </c>
      <c r="AJ28" s="127">
        <v>1</v>
      </c>
      <c r="AM28" s="141" t="s">
        <v>216</v>
      </c>
      <c r="AN28" s="142">
        <v>6</v>
      </c>
      <c r="AO28" s="142">
        <v>3.25</v>
      </c>
      <c r="AP28" s="143">
        <v>1.75</v>
      </c>
      <c r="AQ28" s="143">
        <v>1.25</v>
      </c>
      <c r="AR28" s="143">
        <v>1</v>
      </c>
      <c r="AS28" s="142">
        <v>5</v>
      </c>
      <c r="AT28" s="127">
        <v>1</v>
      </c>
    </row>
    <row r="29" spans="3:46" ht="15.75" x14ac:dyDescent="0.25">
      <c r="C29" s="103" t="s">
        <v>149</v>
      </c>
      <c r="D29" s="82"/>
      <c r="E29" s="92">
        <f>C50</f>
        <v>0.53813532321006374</v>
      </c>
      <c r="F29" s="82" t="s">
        <v>65</v>
      </c>
      <c r="H29" s="268" t="s">
        <v>27</v>
      </c>
      <c r="I29" s="269"/>
      <c r="J29" s="84" t="s">
        <v>28</v>
      </c>
      <c r="K29" t="s">
        <v>148</v>
      </c>
      <c r="L29" s="14"/>
      <c r="M29" s="158" t="str">
        <f>IF(J20="Vlastní rozměr","Nebo zde  -&gt;","")</f>
        <v/>
      </c>
      <c r="N29" s="41"/>
      <c r="O29" t="s">
        <v>96</v>
      </c>
      <c r="P29" s="44">
        <v>195</v>
      </c>
      <c r="Q29" t="s">
        <v>98</v>
      </c>
      <c r="S29" s="53"/>
      <c r="U29" s="63"/>
      <c r="AC29" s="141" t="s">
        <v>217</v>
      </c>
      <c r="AD29" s="142">
        <v>3.92</v>
      </c>
      <c r="AE29" s="142">
        <v>2.2599999999999998</v>
      </c>
      <c r="AF29" s="143">
        <v>1.44</v>
      </c>
      <c r="AG29" s="143">
        <v>0.96</v>
      </c>
      <c r="AH29" s="143">
        <v>99999</v>
      </c>
      <c r="AI29" s="142">
        <v>99999</v>
      </c>
      <c r="AJ29" s="127">
        <v>1</v>
      </c>
      <c r="AM29" s="141" t="s">
        <v>217</v>
      </c>
      <c r="AN29" s="142">
        <v>3.92</v>
      </c>
      <c r="AO29" s="142">
        <v>2.2599999999999998</v>
      </c>
      <c r="AP29" s="143">
        <v>1.44</v>
      </c>
      <c r="AQ29" s="143">
        <v>0.96</v>
      </c>
      <c r="AR29" s="143">
        <v>99999</v>
      </c>
      <c r="AS29" s="142">
        <v>99999</v>
      </c>
      <c r="AT29" s="127">
        <v>1</v>
      </c>
    </row>
    <row r="30" spans="3:46" ht="15.75" x14ac:dyDescent="0.25">
      <c r="C30" s="103" t="s">
        <v>150</v>
      </c>
      <c r="D30" s="82"/>
      <c r="E30" s="92">
        <f>MAX(C60:G64)</f>
        <v>43.433433149984673</v>
      </c>
      <c r="F30" s="82" t="s">
        <v>65</v>
      </c>
      <c r="L30" s="83"/>
      <c r="M30" s="14"/>
      <c r="N30" s="14"/>
      <c r="O30" t="s">
        <v>95</v>
      </c>
      <c r="P30" s="44">
        <v>70</v>
      </c>
      <c r="Q30" t="s">
        <v>99</v>
      </c>
      <c r="S30" s="53"/>
      <c r="AC30" s="125" t="s">
        <v>23</v>
      </c>
      <c r="AD30" s="139">
        <v>3.1150000000000002</v>
      </c>
      <c r="AE30" s="139">
        <v>1.772</v>
      </c>
      <c r="AF30" s="139">
        <v>1</v>
      </c>
      <c r="AG30" s="137">
        <v>99999</v>
      </c>
      <c r="AH30" s="137">
        <v>99999</v>
      </c>
      <c r="AI30" s="139">
        <v>3.738</v>
      </c>
      <c r="AJ30" s="146">
        <v>1</v>
      </c>
      <c r="AM30" s="125" t="s">
        <v>23</v>
      </c>
      <c r="AN30" s="139">
        <v>3.1150000000000002</v>
      </c>
      <c r="AO30" s="139">
        <v>1.772</v>
      </c>
      <c r="AP30" s="139">
        <v>1</v>
      </c>
      <c r="AQ30" s="137">
        <v>99999</v>
      </c>
      <c r="AR30" s="137">
        <v>99999</v>
      </c>
      <c r="AS30" s="139">
        <v>3.738</v>
      </c>
      <c r="AT30" s="146">
        <v>1</v>
      </c>
    </row>
    <row r="31" spans="3:46" ht="15.75" x14ac:dyDescent="0.25">
      <c r="C31" s="98" t="s">
        <v>104</v>
      </c>
      <c r="D31" s="98"/>
      <c r="E31" s="99">
        <f>H55</f>
        <v>0.58219856172367679</v>
      </c>
      <c r="F31" s="98" t="s">
        <v>65</v>
      </c>
      <c r="H31" s="271" t="s">
        <v>151</v>
      </c>
      <c r="I31" s="271"/>
      <c r="J31" s="96">
        <f>IF(J33=0,"-",(AA7/J33)*J21*3.599999712)</f>
        <v>0.94598913020892594</v>
      </c>
      <c r="K31" s="210" t="s">
        <v>65</v>
      </c>
      <c r="L31" s="83"/>
      <c r="M31" s="14"/>
      <c r="N31" s="14"/>
      <c r="O31" t="s">
        <v>97</v>
      </c>
      <c r="P31" s="44">
        <v>15</v>
      </c>
      <c r="Q31" t="s">
        <v>100</v>
      </c>
      <c r="S31" s="53"/>
      <c r="AC31" s="141" t="s">
        <v>218</v>
      </c>
      <c r="AD31" s="142">
        <v>6.27</v>
      </c>
      <c r="AE31" s="142">
        <v>3.44</v>
      </c>
      <c r="AF31" s="143">
        <v>2.2000000000000002</v>
      </c>
      <c r="AG31" s="143">
        <v>1.39</v>
      </c>
      <c r="AH31" s="143">
        <v>1</v>
      </c>
      <c r="AI31" s="142">
        <v>5.57</v>
      </c>
      <c r="AJ31" s="127">
        <v>1</v>
      </c>
      <c r="AM31" s="141" t="s">
        <v>218</v>
      </c>
      <c r="AN31" s="142">
        <v>6.27</v>
      </c>
      <c r="AO31" s="142">
        <v>3.44</v>
      </c>
      <c r="AP31" s="143">
        <v>2.2000000000000002</v>
      </c>
      <c r="AQ31" s="143">
        <v>1.39</v>
      </c>
      <c r="AR31" s="143">
        <v>1</v>
      </c>
      <c r="AS31" s="142">
        <v>5.57</v>
      </c>
      <c r="AT31" s="127">
        <v>1</v>
      </c>
    </row>
    <row r="32" spans="3:46" ht="15.75" x14ac:dyDescent="0.25">
      <c r="H32" s="271" t="s">
        <v>152</v>
      </c>
      <c r="I32" s="271"/>
      <c r="J32" s="96">
        <f>IF(J33=0,"-",(AA8/J33)*J21*3.599999712)</f>
        <v>4.6248357476880821</v>
      </c>
      <c r="K32" s="211" t="s">
        <v>65</v>
      </c>
      <c r="L32" s="83"/>
      <c r="M32" s="14"/>
      <c r="O32" t="s">
        <v>177</v>
      </c>
      <c r="P32" s="36">
        <f>PI()*((2*(P29*P30/100))+(25.4*P31))/1000</f>
        <v>2.0546015954477248</v>
      </c>
      <c r="Q32" t="s">
        <v>92</v>
      </c>
      <c r="S32" s="53"/>
      <c r="AC32" s="141" t="s">
        <v>219</v>
      </c>
      <c r="AD32" s="142">
        <v>7.54</v>
      </c>
      <c r="AE32" s="142">
        <v>4.51</v>
      </c>
      <c r="AF32" s="143">
        <v>2.79</v>
      </c>
      <c r="AG32" s="143">
        <v>1.81</v>
      </c>
      <c r="AH32" s="143">
        <v>1.33</v>
      </c>
      <c r="AI32" s="142">
        <v>7.7</v>
      </c>
      <c r="AJ32" s="127">
        <v>1</v>
      </c>
      <c r="AM32" s="141" t="s">
        <v>219</v>
      </c>
      <c r="AN32" s="142">
        <v>7.54</v>
      </c>
      <c r="AO32" s="142">
        <v>4.51</v>
      </c>
      <c r="AP32" s="143">
        <v>2.79</v>
      </c>
      <c r="AQ32" s="143">
        <v>1.81</v>
      </c>
      <c r="AR32" s="143">
        <v>1.33</v>
      </c>
      <c r="AS32" s="142">
        <v>7.7</v>
      </c>
      <c r="AT32" s="127">
        <v>1</v>
      </c>
    </row>
    <row r="33" spans="1:46" x14ac:dyDescent="0.25">
      <c r="H33" s="272" t="s">
        <v>140</v>
      </c>
      <c r="I33" s="272"/>
      <c r="J33" s="97">
        <f>IF(U13=99999,0,U13)*U12*IF(W13=99999,0,W13)*W12*J16*Y11</f>
        <v>116.44953168000001</v>
      </c>
      <c r="K33" s="212" t="s">
        <v>77</v>
      </c>
      <c r="L33" s="83"/>
      <c r="M33" s="14"/>
      <c r="R33" s="110"/>
      <c r="S33" s="53"/>
      <c r="AC33" s="141" t="s">
        <v>220</v>
      </c>
      <c r="AD33" s="142">
        <v>5.5</v>
      </c>
      <c r="AE33" s="142">
        <v>3.2</v>
      </c>
      <c r="AF33" s="143">
        <v>2</v>
      </c>
      <c r="AG33" s="143">
        <v>0.9</v>
      </c>
      <c r="AH33" s="143">
        <v>99999</v>
      </c>
      <c r="AI33" s="142">
        <v>7.3</v>
      </c>
      <c r="AJ33" s="127">
        <v>1</v>
      </c>
      <c r="AM33" s="141" t="s">
        <v>220</v>
      </c>
      <c r="AN33" s="142">
        <v>5.5</v>
      </c>
      <c r="AO33" s="142">
        <v>3.2</v>
      </c>
      <c r="AP33" s="143">
        <v>2</v>
      </c>
      <c r="AQ33" s="143">
        <v>0.9</v>
      </c>
      <c r="AR33" s="143">
        <v>99999</v>
      </c>
      <c r="AS33" s="142">
        <v>7.3</v>
      </c>
      <c r="AT33" s="127">
        <v>1</v>
      </c>
    </row>
    <row r="34" spans="1:46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14"/>
      <c r="O34" s="163" t="s">
        <v>278</v>
      </c>
      <c r="P34" s="163"/>
      <c r="Q34" s="163"/>
      <c r="S34" s="284"/>
      <c r="AC34" s="141" t="s">
        <v>221</v>
      </c>
      <c r="AD34" s="142">
        <v>5.95</v>
      </c>
      <c r="AE34" s="142">
        <v>3.7</v>
      </c>
      <c r="AF34" s="143">
        <v>1.78</v>
      </c>
      <c r="AG34" s="143">
        <v>1</v>
      </c>
      <c r="AH34" s="143">
        <v>99999</v>
      </c>
      <c r="AI34" s="142">
        <v>5.59</v>
      </c>
      <c r="AJ34" s="127">
        <v>1</v>
      </c>
      <c r="AM34" s="141" t="s">
        <v>221</v>
      </c>
      <c r="AN34" s="142">
        <v>5.95</v>
      </c>
      <c r="AO34" s="142">
        <v>3.7</v>
      </c>
      <c r="AP34" s="143">
        <v>1.78</v>
      </c>
      <c r="AQ34" s="143">
        <v>1</v>
      </c>
      <c r="AR34" s="143">
        <v>99999</v>
      </c>
      <c r="AS34" s="142">
        <v>5.59</v>
      </c>
      <c r="AT34" s="127">
        <v>1</v>
      </c>
    </row>
    <row r="35" spans="1:46" ht="15.75" thickBot="1" x14ac:dyDescent="0.3">
      <c r="B35" s="254" t="s">
        <v>146</v>
      </c>
      <c r="C35" s="254"/>
      <c r="D35" s="254"/>
      <c r="E35" s="254"/>
      <c r="F35" s="254"/>
      <c r="G35" s="254"/>
      <c r="H35" s="254"/>
      <c r="I35" s="254"/>
      <c r="L35" s="83"/>
      <c r="M35" s="240" t="str">
        <f>IF(G21="jiný","Zde napiš poměr -&gt;","")</f>
        <v/>
      </c>
      <c r="O35" s="215" t="s">
        <v>170</v>
      </c>
      <c r="P35" s="224">
        <f>Q37/P37</f>
        <v>1.9166666666666667</v>
      </c>
      <c r="R35" s="22"/>
      <c r="S35" s="286"/>
      <c r="T35" s="21" t="str">
        <f>IF(P35=1,"zbytečný převod (1:1)","")</f>
        <v/>
      </c>
      <c r="AC35" s="141" t="s">
        <v>222</v>
      </c>
      <c r="AD35" s="142">
        <v>4.5</v>
      </c>
      <c r="AE35" s="142">
        <v>2.75</v>
      </c>
      <c r="AF35" s="143">
        <v>1.7</v>
      </c>
      <c r="AG35" s="143">
        <v>1.1499999999999999</v>
      </c>
      <c r="AH35" s="143">
        <v>99999</v>
      </c>
      <c r="AI35" s="142">
        <v>4.25</v>
      </c>
      <c r="AJ35" s="127">
        <v>1</v>
      </c>
      <c r="AM35" s="141" t="s">
        <v>222</v>
      </c>
      <c r="AN35" s="142">
        <v>4.5</v>
      </c>
      <c r="AO35" s="142">
        <v>2.75</v>
      </c>
      <c r="AP35" s="143">
        <v>1.7</v>
      </c>
      <c r="AQ35" s="143">
        <v>1.1499999999999999</v>
      </c>
      <c r="AR35" s="143">
        <v>99999</v>
      </c>
      <c r="AS35" s="142">
        <v>4.25</v>
      </c>
      <c r="AT35" s="127">
        <v>1</v>
      </c>
    </row>
    <row r="36" spans="1:46" x14ac:dyDescent="0.25">
      <c r="L36" s="83"/>
      <c r="M36" s="14"/>
      <c r="P36" s="22" t="s">
        <v>281</v>
      </c>
      <c r="Q36" s="22"/>
      <c r="R36" s="225"/>
      <c r="S36" s="53"/>
      <c r="AC36" s="125" t="s">
        <v>107</v>
      </c>
      <c r="AD36" s="137">
        <v>3.7269999999999999</v>
      </c>
      <c r="AE36" s="137">
        <v>2.0529999999999999</v>
      </c>
      <c r="AF36" s="137">
        <v>1.32</v>
      </c>
      <c r="AG36" s="137">
        <v>0.96699999999999997</v>
      </c>
      <c r="AH36" s="137">
        <v>0.79400000000000004</v>
      </c>
      <c r="AI36" s="138">
        <v>3.5449999999999999</v>
      </c>
      <c r="AJ36" s="146">
        <v>3.867</v>
      </c>
      <c r="AM36" s="125" t="s">
        <v>107</v>
      </c>
      <c r="AN36" s="137">
        <v>3.7269999999999999</v>
      </c>
      <c r="AO36" s="137">
        <v>2.0529999999999999</v>
      </c>
      <c r="AP36" s="137">
        <v>1.32</v>
      </c>
      <c r="AQ36" s="137">
        <v>0.96699999999999997</v>
      </c>
      <c r="AR36" s="137">
        <v>0.79400000000000004</v>
      </c>
      <c r="AS36" s="138">
        <v>3.5449999999999999</v>
      </c>
      <c r="AT36" s="146">
        <v>3.867</v>
      </c>
    </row>
    <row r="37" spans="1:46" ht="16.5" thickBot="1" x14ac:dyDescent="0.3">
      <c r="A37" s="57"/>
      <c r="B37" s="276" t="s">
        <v>101</v>
      </c>
      <c r="C37" s="276"/>
      <c r="D37" s="276"/>
      <c r="E37" s="276"/>
      <c r="F37" s="276"/>
      <c r="G37" s="276"/>
      <c r="H37" s="276"/>
      <c r="I37" s="198"/>
      <c r="L37" s="83"/>
      <c r="M37" s="236" t="str">
        <f>IF(F32="jiný","Nebo zde počet zubů -&gt;","")</f>
        <v/>
      </c>
      <c r="P37" s="235">
        <v>12</v>
      </c>
      <c r="Q37" s="235">
        <v>23</v>
      </c>
      <c r="S37" s="53"/>
      <c r="T37" s="21" t="str">
        <f>IF(P37&gt;Q37,"zrychlující poměr !","")</f>
        <v/>
      </c>
      <c r="AC37" s="125" t="s">
        <v>12</v>
      </c>
      <c r="AD37" s="138">
        <v>7.62</v>
      </c>
      <c r="AE37" s="138">
        <v>4.5999999999999996</v>
      </c>
      <c r="AF37" s="138">
        <v>2.79</v>
      </c>
      <c r="AG37" s="138">
        <v>1.62</v>
      </c>
      <c r="AH37" s="138">
        <v>1</v>
      </c>
      <c r="AI37" s="138">
        <v>7.06</v>
      </c>
      <c r="AJ37" s="146">
        <v>1</v>
      </c>
      <c r="AM37" s="125" t="s">
        <v>12</v>
      </c>
      <c r="AN37" s="138">
        <v>7.62</v>
      </c>
      <c r="AO37" s="138">
        <v>4.5999999999999996</v>
      </c>
      <c r="AP37" s="138">
        <v>2.79</v>
      </c>
      <c r="AQ37" s="138">
        <v>1.62</v>
      </c>
      <c r="AR37" s="138">
        <v>1</v>
      </c>
      <c r="AS37" s="138">
        <v>7.06</v>
      </c>
      <c r="AT37" s="146">
        <v>1</v>
      </c>
    </row>
    <row r="38" spans="1:46" x14ac:dyDescent="0.25">
      <c r="B38" s="14"/>
      <c r="C38" s="274" t="s">
        <v>103</v>
      </c>
      <c r="D38" s="274"/>
      <c r="E38" s="274"/>
      <c r="F38" s="274"/>
      <c r="G38" s="274"/>
      <c r="H38" s="274"/>
      <c r="I38" s="199"/>
      <c r="L38" s="83"/>
      <c r="P38" s="215" t="s">
        <v>170</v>
      </c>
      <c r="Q38" s="225">
        <f>Q37/P37</f>
        <v>1.9166666666666667</v>
      </c>
      <c r="S38" s="53"/>
      <c r="AC38" s="125" t="s">
        <v>19</v>
      </c>
      <c r="AD38" s="138">
        <v>3.8</v>
      </c>
      <c r="AE38" s="137">
        <v>2.12</v>
      </c>
      <c r="AF38" s="138">
        <v>1.41</v>
      </c>
      <c r="AG38" s="137">
        <v>0.96</v>
      </c>
      <c r="AH38" s="137">
        <v>99999</v>
      </c>
      <c r="AI38" s="138">
        <v>3.27</v>
      </c>
      <c r="AJ38" s="146">
        <v>3.9</v>
      </c>
      <c r="AM38" s="125" t="s">
        <v>19</v>
      </c>
      <c r="AN38" s="138">
        <v>3.8</v>
      </c>
      <c r="AO38" s="137">
        <v>2.12</v>
      </c>
      <c r="AP38" s="138">
        <v>1.41</v>
      </c>
      <c r="AQ38" s="137">
        <v>0.96</v>
      </c>
      <c r="AR38" s="137">
        <v>99999</v>
      </c>
      <c r="AS38" s="138">
        <v>3.27</v>
      </c>
      <c r="AT38" s="146">
        <v>3.9</v>
      </c>
    </row>
    <row r="39" spans="1:46" x14ac:dyDescent="0.25">
      <c r="B39" s="59" t="s">
        <v>105</v>
      </c>
      <c r="C39" s="37" t="s">
        <v>27</v>
      </c>
      <c r="D39" s="37" t="s">
        <v>28</v>
      </c>
      <c r="E39" s="37" t="s">
        <v>29</v>
      </c>
      <c r="F39" s="37" t="s">
        <v>30</v>
      </c>
      <c r="G39" s="37" t="s">
        <v>31</v>
      </c>
      <c r="H39" s="37" t="s">
        <v>32</v>
      </c>
      <c r="I39" s="159"/>
      <c r="L39" s="83"/>
      <c r="S39" s="53"/>
      <c r="AC39" s="125" t="s">
        <v>20</v>
      </c>
      <c r="AD39" s="138">
        <v>3.8</v>
      </c>
      <c r="AE39" s="137">
        <v>2.12</v>
      </c>
      <c r="AF39" s="138">
        <v>1.41</v>
      </c>
      <c r="AG39" s="137">
        <v>0.96</v>
      </c>
      <c r="AH39" s="137">
        <v>0.83</v>
      </c>
      <c r="AI39" s="138">
        <v>3.27</v>
      </c>
      <c r="AJ39" s="146">
        <v>4.22</v>
      </c>
      <c r="AM39" s="125" t="s">
        <v>20</v>
      </c>
      <c r="AN39" s="138">
        <v>3.8</v>
      </c>
      <c r="AO39" s="137">
        <v>2.12</v>
      </c>
      <c r="AP39" s="138">
        <v>1.41</v>
      </c>
      <c r="AQ39" s="137">
        <v>0.96</v>
      </c>
      <c r="AR39" s="137">
        <v>0.83</v>
      </c>
      <c r="AS39" s="138">
        <v>3.27</v>
      </c>
      <c r="AT39" s="146">
        <v>4.22</v>
      </c>
    </row>
    <row r="40" spans="1:46" ht="15" customHeight="1" x14ac:dyDescent="0.25">
      <c r="A40" s="270" t="s">
        <v>125</v>
      </c>
      <c r="B40" s="56" t="s">
        <v>27</v>
      </c>
      <c r="C40" s="42">
        <f>U6*U12*W6*W12*J16*Y11</f>
        <v>204.70671060000004</v>
      </c>
      <c r="D40" s="42">
        <f>U7*U12*W6*W12*J16*Y11</f>
        <v>114.20479644000002</v>
      </c>
      <c r="E40" s="42">
        <f>(IF(U8=99999,0,U8)*U12*W6*W12*J16)*Y11</f>
        <v>75.956963670000007</v>
      </c>
      <c r="F40" s="42">
        <f>(IF(U9=99999,0,U9)*U12*W6*W12*J16)*Y11</f>
        <v>49.937663349000012</v>
      </c>
      <c r="G40" s="42">
        <f>(IF(U10=99999,0,U10)*U12*W6*W12*J16)*Y11</f>
        <v>38.624924079000003</v>
      </c>
      <c r="H40" s="42">
        <f>(IF(U11=99999,0,U11)*U12*W6*W12*J16)*Y11</f>
        <v>157.67803734900002</v>
      </c>
      <c r="I40" s="42"/>
      <c r="L40" s="83"/>
      <c r="S40" s="53"/>
      <c r="AC40" s="141" t="s">
        <v>223</v>
      </c>
      <c r="AD40" s="142">
        <v>4.2699999999999996</v>
      </c>
      <c r="AE40" s="142">
        <v>2.46</v>
      </c>
      <c r="AF40" s="143">
        <v>1.59</v>
      </c>
      <c r="AG40" s="143">
        <v>1</v>
      </c>
      <c r="AH40" s="143">
        <v>99999</v>
      </c>
      <c r="AI40" s="142">
        <v>5.61</v>
      </c>
      <c r="AJ40" s="127">
        <v>1</v>
      </c>
      <c r="AM40" s="141" t="s">
        <v>223</v>
      </c>
      <c r="AN40" s="142">
        <v>4.2699999999999996</v>
      </c>
      <c r="AO40" s="142">
        <v>2.46</v>
      </c>
      <c r="AP40" s="143">
        <v>1.59</v>
      </c>
      <c r="AQ40" s="143">
        <v>1</v>
      </c>
      <c r="AR40" s="143">
        <v>99999</v>
      </c>
      <c r="AS40" s="142">
        <v>5.61</v>
      </c>
      <c r="AT40" s="127">
        <v>1</v>
      </c>
    </row>
    <row r="41" spans="1:46" x14ac:dyDescent="0.25">
      <c r="A41" s="270"/>
      <c r="B41" s="56" t="s">
        <v>28</v>
      </c>
      <c r="C41" s="42">
        <f>U6*U12*W7*W12*J16*Y11</f>
        <v>116.44953168000001</v>
      </c>
      <c r="D41" s="42">
        <f>U7*U12*W7*W12*J16*Y11</f>
        <v>64.96658083200002</v>
      </c>
      <c r="E41" s="42">
        <f>(IF(U8=99999,0,U8)*U12*W7*W12*J16)*Y11</f>
        <v>43.208905176000002</v>
      </c>
      <c r="F41" s="42">
        <f>(IF(U9=99999,0,U9)*U12*W7*W12*J16)*Y11</f>
        <v>28.407556807200006</v>
      </c>
      <c r="G41" s="42">
        <f>(IF(U10=99999,0,U10)*U12*W7*W12*J16)*Y11</f>
        <v>21.972187951199999</v>
      </c>
      <c r="H41" s="42">
        <f>(IF(U11=99999,0,U11)*U12*W7*W12*J16)*Y11</f>
        <v>89.696784007200009</v>
      </c>
      <c r="I41" s="42"/>
      <c r="L41" s="83"/>
      <c r="S41" s="53"/>
      <c r="AC41" s="125" t="s">
        <v>106</v>
      </c>
      <c r="AD41" s="140">
        <v>3.8</v>
      </c>
      <c r="AE41" s="137">
        <v>2.12</v>
      </c>
      <c r="AF41" s="138">
        <v>1.41</v>
      </c>
      <c r="AG41" s="137">
        <v>0.92700000000000005</v>
      </c>
      <c r="AH41" s="137">
        <v>0.71699999999999997</v>
      </c>
      <c r="AI41" s="138">
        <v>2.927</v>
      </c>
      <c r="AJ41" s="127">
        <v>3.895</v>
      </c>
      <c r="AM41" s="125" t="s">
        <v>106</v>
      </c>
      <c r="AN41" s="140">
        <v>3.8</v>
      </c>
      <c r="AO41" s="137">
        <v>2.12</v>
      </c>
      <c r="AP41" s="138">
        <v>1.41</v>
      </c>
      <c r="AQ41" s="137">
        <v>0.92700000000000005</v>
      </c>
      <c r="AR41" s="137">
        <v>0.71699999999999997</v>
      </c>
      <c r="AS41" s="138">
        <v>2.927</v>
      </c>
      <c r="AT41" s="127">
        <v>3.895</v>
      </c>
    </row>
    <row r="42" spans="1:46" x14ac:dyDescent="0.25">
      <c r="A42" s="270"/>
      <c r="B42" s="56" t="s">
        <v>29</v>
      </c>
      <c r="C42" s="42">
        <f>(IF(U6=99999,0,U6))*(IF(W8=99999,0,W8))*J16*U12*W12*Y11</f>
        <v>65.716440000000006</v>
      </c>
      <c r="D42" s="42">
        <f>(IF(U7=99999,0,U7))*(IF(W8=99999,0,W8))*J16*U12*W12*Y11</f>
        <v>36.662856000000005</v>
      </c>
      <c r="E42" s="42">
        <f>(IF(U8=99999,0,U8))*(IF(W8=99999,0,W8))*J16*U12*W12*Y11</f>
        <v>24.384258000000003</v>
      </c>
      <c r="F42" s="42">
        <f>(IF(U9=99999,0,U9))*(IF(W8=99999,0,W8))*J16*U12*W12*Y11</f>
        <v>16.031352600000002</v>
      </c>
      <c r="G42" s="42">
        <f>(IF(U10=99999,0,U10))*(IF(W8=99999,0,W8))*J16*U12*W12*Y11</f>
        <v>12.399654600000002</v>
      </c>
      <c r="H42" s="42">
        <f>(IF(U11=99999,0,U11))*(IF(W8=99999,0,W8))*J16*U12*W12*Y11</f>
        <v>50.618952600000007</v>
      </c>
      <c r="I42" s="42"/>
      <c r="L42" s="83"/>
      <c r="S42" s="53"/>
      <c r="AC42" s="125" t="s">
        <v>93</v>
      </c>
      <c r="AD42" s="140">
        <v>3.4620000000000002</v>
      </c>
      <c r="AE42" s="137">
        <v>1.9570000000000001</v>
      </c>
      <c r="AF42" s="138">
        <v>1.31</v>
      </c>
      <c r="AG42" s="137">
        <v>0.97499999999999998</v>
      </c>
      <c r="AH42" s="137">
        <v>0.75600000000000001</v>
      </c>
      <c r="AI42" s="138">
        <v>2.923</v>
      </c>
      <c r="AJ42" s="127">
        <v>3.8330000000000002</v>
      </c>
      <c r="AM42" s="125" t="s">
        <v>93</v>
      </c>
      <c r="AN42" s="140">
        <v>3.4620000000000002</v>
      </c>
      <c r="AO42" s="137">
        <v>1.9570000000000001</v>
      </c>
      <c r="AP42" s="138">
        <v>1.31</v>
      </c>
      <c r="AQ42" s="137">
        <v>0.97499999999999998</v>
      </c>
      <c r="AR42" s="137">
        <v>0.75600000000000001</v>
      </c>
      <c r="AS42" s="138">
        <v>2.923</v>
      </c>
      <c r="AT42" s="127">
        <v>3.8330000000000002</v>
      </c>
    </row>
    <row r="43" spans="1:46" x14ac:dyDescent="0.25">
      <c r="A43" s="270"/>
      <c r="B43" s="56" t="s">
        <v>30</v>
      </c>
      <c r="C43" s="42">
        <f>(IF(U6=99999,0,U6))*(IF(W9=99999,0,W9))*J16*U12*W12*Y11</f>
        <v>0</v>
      </c>
      <c r="D43" s="42">
        <f>(IF(U7=99999,0,U7))*(IF(W9=99999,0,W9))*J16*U12*W12*Y11</f>
        <v>0</v>
      </c>
      <c r="E43" s="42">
        <f>(IF(U8=99999,0,U8))*(IF(W9=99999,0,W9))*J16*U12*W12*Y11</f>
        <v>0</v>
      </c>
      <c r="F43" s="42">
        <f>(IF(U9=99999,0,U9))*(IF(W9=99999,0,W9))*J16*U12*W12*Y11</f>
        <v>0</v>
      </c>
      <c r="G43" s="42">
        <f>(IF(U10=99999,0,U10))*(IF(W9=99999,0,W9))*J16*U12*W12*Y11</f>
        <v>0</v>
      </c>
      <c r="H43" s="42">
        <f>(IF(U11=99999,0,U11))*(IF(W9=99999,0,W9))*J16*U12*W12*Y11</f>
        <v>0</v>
      </c>
      <c r="I43" s="42"/>
      <c r="L43" s="83"/>
      <c r="S43" s="53"/>
      <c r="AC43" s="141" t="s">
        <v>224</v>
      </c>
      <c r="AD43" s="142">
        <v>5.29</v>
      </c>
      <c r="AE43" s="142">
        <v>2.78</v>
      </c>
      <c r="AF43" s="143">
        <v>1.62</v>
      </c>
      <c r="AG43" s="143">
        <v>1</v>
      </c>
      <c r="AH43" s="143">
        <v>99999</v>
      </c>
      <c r="AI43" s="142">
        <v>5.91</v>
      </c>
      <c r="AJ43" s="127">
        <v>1</v>
      </c>
      <c r="AM43" s="141" t="s">
        <v>224</v>
      </c>
      <c r="AN43" s="142">
        <v>5.29</v>
      </c>
      <c r="AO43" s="142">
        <v>2.78</v>
      </c>
      <c r="AP43" s="143">
        <v>1.62</v>
      </c>
      <c r="AQ43" s="143">
        <v>1</v>
      </c>
      <c r="AR43" s="143">
        <v>99999</v>
      </c>
      <c r="AS43" s="142">
        <v>5.91</v>
      </c>
      <c r="AT43" s="127">
        <v>1</v>
      </c>
    </row>
    <row r="44" spans="1:46" ht="15" customHeight="1" x14ac:dyDescent="0.25">
      <c r="A44" s="270"/>
      <c r="B44" s="56" t="s">
        <v>31</v>
      </c>
      <c r="C44" s="42">
        <f>(IF(U6=99999,0,U6))*(IF(W10=99999,0,W10))*J16*U12*W12*Y11</f>
        <v>0</v>
      </c>
      <c r="D44" s="42">
        <f>(IF(U7=99999,0,U7))*(IF(W10=99999,0,W10))*J16*U12*W12*Y11</f>
        <v>0</v>
      </c>
      <c r="E44" s="42">
        <f>(IF(U8=99999,0,U8))*(IF(W10=99999,0,W10))*J16*U12*W12*Y11</f>
        <v>0</v>
      </c>
      <c r="F44" s="42">
        <f>(IF(U9=99999,0,U9))*(IF(W10=99999,0,W10))*J16*U12*W12*Y11</f>
        <v>0</v>
      </c>
      <c r="G44" s="42">
        <f>(IF(U10=99999,0,U10))*(IF(W10=99999,0,W10))*J16*U12*W12*Y11</f>
        <v>0</v>
      </c>
      <c r="H44" s="42">
        <f>(IF(U11=99999,0,U11))*(IF(W10=99999,0,W10))*J16*U12*W12*Y11</f>
        <v>0</v>
      </c>
      <c r="I44" s="42"/>
      <c r="L44" s="83"/>
      <c r="S44" s="53"/>
      <c r="AC44" s="141" t="s">
        <v>21</v>
      </c>
      <c r="AD44" s="142">
        <v>6.65</v>
      </c>
      <c r="AE44" s="142">
        <v>3.1</v>
      </c>
      <c r="AF44" s="143">
        <v>1.7150000000000001</v>
      </c>
      <c r="AG44" s="143">
        <v>1.0449999999999999</v>
      </c>
      <c r="AH44" s="143">
        <v>99999</v>
      </c>
      <c r="AI44" s="142">
        <v>5.0999999999999996</v>
      </c>
      <c r="AJ44" s="127">
        <v>1</v>
      </c>
      <c r="AM44" s="141" t="s">
        <v>21</v>
      </c>
      <c r="AN44" s="142">
        <v>6.65</v>
      </c>
      <c r="AO44" s="142">
        <v>3.1</v>
      </c>
      <c r="AP44" s="143">
        <v>1.7150000000000001</v>
      </c>
      <c r="AQ44" s="143">
        <v>1.0449999999999999</v>
      </c>
      <c r="AR44" s="143">
        <v>99999</v>
      </c>
      <c r="AS44" s="142">
        <v>5.0999999999999996</v>
      </c>
      <c r="AT44" s="127">
        <v>1</v>
      </c>
    </row>
    <row r="45" spans="1:46" x14ac:dyDescent="0.25">
      <c r="A45" s="270"/>
      <c r="B45" s="56" t="s">
        <v>32</v>
      </c>
      <c r="C45" s="42">
        <f>(IF(U6=99999,0,U6))*(IF(W11=99999,0,W11))*J16*U12*W12*Y11</f>
        <v>245.64805272000001</v>
      </c>
      <c r="D45" s="42">
        <f>(IF(U7=99999,0,U7))*(IF(W11=99999,0,W11))*J16*U12*W12*Y11</f>
        <v>137.04575572800002</v>
      </c>
      <c r="E45" s="42">
        <f>(IF(U8=99999,0,U8))*(IF(W11=99999,0,W11))*J16*U12*W12*Y11</f>
        <v>91.148356403999998</v>
      </c>
      <c r="F45" s="42">
        <f>(IF(U9=99999,0,U9))*(IF(W11=99999,0,W11))*J16*U12*W12*Y11</f>
        <v>59.925196018800008</v>
      </c>
      <c r="G45" s="42">
        <f>(IF(U10=99999,0,U10))*(IF(W11=99999,0,W11))*J16*U12*W12*Y11</f>
        <v>46.349908894799995</v>
      </c>
      <c r="H45" s="42">
        <f>(IF(U11=99999,0,U11))*(IF(W11=99999,0,W11))*J16*U12*W12*Y11</f>
        <v>189.21364481880002</v>
      </c>
      <c r="I45" s="42"/>
      <c r="L45" s="83"/>
      <c r="S45" s="53"/>
      <c r="AC45" s="141" t="s">
        <v>225</v>
      </c>
      <c r="AD45" s="142">
        <v>4.1239999999999997</v>
      </c>
      <c r="AE45" s="142">
        <v>2.641</v>
      </c>
      <c r="AF45" s="143">
        <v>1.58</v>
      </c>
      <c r="AG45" s="143">
        <v>1</v>
      </c>
      <c r="AH45" s="143">
        <v>99999</v>
      </c>
      <c r="AI45" s="142">
        <v>5.2240000000000002</v>
      </c>
      <c r="AJ45" s="127">
        <v>1</v>
      </c>
      <c r="AM45" s="141" t="s">
        <v>225</v>
      </c>
      <c r="AN45" s="142">
        <v>4.1239999999999997</v>
      </c>
      <c r="AO45" s="142">
        <v>2.641</v>
      </c>
      <c r="AP45" s="143">
        <v>1.58</v>
      </c>
      <c r="AQ45" s="143">
        <v>1</v>
      </c>
      <c r="AR45" s="143">
        <v>99999</v>
      </c>
      <c r="AS45" s="142">
        <v>5.2240000000000002</v>
      </c>
      <c r="AT45" s="127">
        <v>1</v>
      </c>
    </row>
    <row r="46" spans="1:46" x14ac:dyDescent="0.25">
      <c r="A46" s="101"/>
      <c r="L46" s="83"/>
      <c r="S46" s="53"/>
      <c r="AC46" s="125" t="s">
        <v>10</v>
      </c>
      <c r="AD46" s="138">
        <v>6.19</v>
      </c>
      <c r="AE46" s="138">
        <v>3.13</v>
      </c>
      <c r="AF46" s="138">
        <v>1.75</v>
      </c>
      <c r="AG46" s="138">
        <v>1</v>
      </c>
      <c r="AH46" s="137">
        <v>99999</v>
      </c>
      <c r="AI46" s="138">
        <v>6.28</v>
      </c>
      <c r="AJ46" s="146">
        <v>1</v>
      </c>
      <c r="AM46" s="125" t="s">
        <v>10</v>
      </c>
      <c r="AN46" s="138">
        <v>6.19</v>
      </c>
      <c r="AO46" s="138">
        <v>3.13</v>
      </c>
      <c r="AP46" s="138">
        <v>1.75</v>
      </c>
      <c r="AQ46" s="138">
        <v>1</v>
      </c>
      <c r="AR46" s="137">
        <v>99999</v>
      </c>
      <c r="AS46" s="138">
        <v>6.28</v>
      </c>
      <c r="AT46" s="146">
        <v>1</v>
      </c>
    </row>
    <row r="47" spans="1:46" ht="15" customHeight="1" thickBot="1" x14ac:dyDescent="0.3">
      <c r="A47" s="101"/>
      <c r="B47" s="273" t="s">
        <v>130</v>
      </c>
      <c r="C47" s="273"/>
      <c r="D47" s="273"/>
      <c r="E47" s="273"/>
      <c r="F47" s="273"/>
      <c r="G47" s="76">
        <f>Z7</f>
        <v>900</v>
      </c>
      <c r="H47" s="76" t="s">
        <v>131</v>
      </c>
      <c r="I47" s="35"/>
      <c r="L47" s="83"/>
      <c r="S47" s="53"/>
      <c r="AC47" s="125" t="s">
        <v>195</v>
      </c>
      <c r="AD47" s="138">
        <v>3.7530000000000001</v>
      </c>
      <c r="AE47" s="137">
        <v>2.3029999999999999</v>
      </c>
      <c r="AF47" s="138">
        <v>1.4930000000000001</v>
      </c>
      <c r="AG47" s="137">
        <v>1</v>
      </c>
      <c r="AH47" s="137">
        <v>99999</v>
      </c>
      <c r="AI47" s="138">
        <v>3.867</v>
      </c>
      <c r="AJ47" s="146">
        <v>1</v>
      </c>
      <c r="AM47" s="125" t="s">
        <v>195</v>
      </c>
      <c r="AN47" s="138">
        <v>3.7530000000000001</v>
      </c>
      <c r="AO47" s="137">
        <v>2.3029999999999999</v>
      </c>
      <c r="AP47" s="138">
        <v>1.4930000000000001</v>
      </c>
      <c r="AQ47" s="137">
        <v>1</v>
      </c>
      <c r="AR47" s="137">
        <v>99999</v>
      </c>
      <c r="AS47" s="138">
        <v>3.867</v>
      </c>
      <c r="AT47" s="146">
        <v>1</v>
      </c>
    </row>
    <row r="48" spans="1:46" x14ac:dyDescent="0.25">
      <c r="A48" s="101"/>
      <c r="B48" s="14"/>
      <c r="C48" s="274" t="s">
        <v>103</v>
      </c>
      <c r="D48" s="274"/>
      <c r="E48" s="274"/>
      <c r="F48" s="274"/>
      <c r="G48" s="274"/>
      <c r="H48" s="274"/>
      <c r="I48" s="199"/>
      <c r="L48" s="83"/>
      <c r="S48" s="53"/>
      <c r="AC48" s="141" t="s">
        <v>196</v>
      </c>
      <c r="AD48" s="142">
        <v>3.7530000000000001</v>
      </c>
      <c r="AE48" s="142">
        <v>2.3029999999999999</v>
      </c>
      <c r="AF48" s="143">
        <v>1.4930000000000001</v>
      </c>
      <c r="AG48" s="143">
        <v>1</v>
      </c>
      <c r="AH48" s="143">
        <v>99999</v>
      </c>
      <c r="AI48" s="142">
        <v>3.867</v>
      </c>
      <c r="AJ48" s="127">
        <v>1</v>
      </c>
      <c r="AM48" s="141" t="s">
        <v>196</v>
      </c>
      <c r="AN48" s="142">
        <v>3.7530000000000001</v>
      </c>
      <c r="AO48" s="142">
        <v>2.3029999999999999</v>
      </c>
      <c r="AP48" s="143">
        <v>1.4930000000000001</v>
      </c>
      <c r="AQ48" s="143">
        <v>1</v>
      </c>
      <c r="AR48" s="143">
        <v>99999</v>
      </c>
      <c r="AS48" s="142">
        <v>3.867</v>
      </c>
      <c r="AT48" s="127">
        <v>1</v>
      </c>
    </row>
    <row r="49" spans="1:46" x14ac:dyDescent="0.25">
      <c r="A49" s="101"/>
      <c r="B49" s="59" t="s">
        <v>105</v>
      </c>
      <c r="C49" s="37" t="s">
        <v>27</v>
      </c>
      <c r="D49" s="37" t="s">
        <v>28</v>
      </c>
      <c r="E49" s="37" t="s">
        <v>29</v>
      </c>
      <c r="F49" s="37" t="s">
        <v>30</v>
      </c>
      <c r="G49" s="37" t="s">
        <v>31</v>
      </c>
      <c r="H49" s="37" t="s">
        <v>32</v>
      </c>
      <c r="I49" s="159"/>
      <c r="L49" s="83"/>
      <c r="M49" s="14"/>
      <c r="S49" s="53"/>
      <c r="AC49" s="141" t="s">
        <v>226</v>
      </c>
      <c r="AD49" s="142">
        <v>3.67</v>
      </c>
      <c r="AE49" s="142">
        <v>2.1</v>
      </c>
      <c r="AF49" s="142">
        <v>1.36</v>
      </c>
      <c r="AG49" s="142">
        <v>1</v>
      </c>
      <c r="AH49" s="142">
        <v>0.82</v>
      </c>
      <c r="AI49" s="142">
        <v>3.53</v>
      </c>
      <c r="AJ49" s="127">
        <v>1</v>
      </c>
      <c r="AM49" s="141" t="s">
        <v>226</v>
      </c>
      <c r="AN49" s="142">
        <v>3.67</v>
      </c>
      <c r="AO49" s="142">
        <v>2.1</v>
      </c>
      <c r="AP49" s="142">
        <v>1.36</v>
      </c>
      <c r="AQ49" s="142">
        <v>1</v>
      </c>
      <c r="AR49" s="142">
        <v>0.82</v>
      </c>
      <c r="AS49" s="142">
        <v>3.53</v>
      </c>
      <c r="AT49" s="127">
        <v>1</v>
      </c>
    </row>
    <row r="50" spans="1:46" ht="15" customHeight="1" x14ac:dyDescent="0.25">
      <c r="A50" s="270" t="s">
        <v>125</v>
      </c>
      <c r="B50" s="56" t="s">
        <v>27</v>
      </c>
      <c r="C50" s="58">
        <f>($AA$7/C40)*$J$21*3.59999712</f>
        <v>0.53813532321006374</v>
      </c>
      <c r="D50" s="58">
        <f>($AA$7/D40)*$J$21*3.59999712</f>
        <v>0.96458218311237842</v>
      </c>
      <c r="E50" s="58">
        <f t="shared" ref="E50:H55" si="0">IF(E40=0,"-",($AA$7/E40)*$J$21*3.59999712)</f>
        <v>1.4502937788640016</v>
      </c>
      <c r="F50" s="58">
        <f t="shared" si="0"/>
        <v>2.2059484662332705</v>
      </c>
      <c r="G50" s="58">
        <f t="shared" si="0"/>
        <v>2.8520421592723046</v>
      </c>
      <c r="H50" s="58">
        <f t="shared" si="0"/>
        <v>0.69863827406841217</v>
      </c>
      <c r="I50" s="58"/>
      <c r="L50" s="83"/>
      <c r="M50" s="14"/>
      <c r="S50" s="53"/>
      <c r="AC50" s="141" t="s">
        <v>227</v>
      </c>
      <c r="AD50" s="142">
        <v>3.11</v>
      </c>
      <c r="AE50" s="142">
        <v>1.77</v>
      </c>
      <c r="AF50" s="143">
        <v>1</v>
      </c>
      <c r="AG50" s="143">
        <v>99999</v>
      </c>
      <c r="AH50" s="143">
        <v>99999</v>
      </c>
      <c r="AI50" s="142">
        <v>3.73</v>
      </c>
      <c r="AJ50" s="127">
        <v>1</v>
      </c>
      <c r="AM50" s="141" t="s">
        <v>227</v>
      </c>
      <c r="AN50" s="142">
        <v>3.11</v>
      </c>
      <c r="AO50" s="142">
        <v>1.77</v>
      </c>
      <c r="AP50" s="143">
        <v>1</v>
      </c>
      <c r="AQ50" s="143">
        <v>99999</v>
      </c>
      <c r="AR50" s="143">
        <v>99999</v>
      </c>
      <c r="AS50" s="142">
        <v>3.73</v>
      </c>
      <c r="AT50" s="127">
        <v>1</v>
      </c>
    </row>
    <row r="51" spans="1:46" x14ac:dyDescent="0.25">
      <c r="A51" s="270"/>
      <c r="B51" s="56" t="s">
        <v>28</v>
      </c>
      <c r="C51" s="58">
        <f>($AA$7/C41)*$J$21*3.59999712</f>
        <v>0.94598844909669777</v>
      </c>
      <c r="D51" s="58">
        <f>($AA$7/D41)*$J$21*3.59999712</f>
        <v>1.6956396729091752</v>
      </c>
      <c r="E51" s="58">
        <f t="shared" si="0"/>
        <v>2.5494724160052851</v>
      </c>
      <c r="F51" s="58">
        <f t="shared" si="0"/>
        <v>3.8778383026617593</v>
      </c>
      <c r="G51" s="58">
        <f t="shared" si="0"/>
        <v>5.0136068431903107</v>
      </c>
      <c r="H51" s="58">
        <f t="shared" si="0"/>
        <v>1.2281366951033317</v>
      </c>
      <c r="I51" s="58"/>
      <c r="L51" s="83"/>
      <c r="M51" s="14"/>
      <c r="S51" s="53"/>
      <c r="AC51" s="141" t="s">
        <v>228</v>
      </c>
      <c r="AD51" s="142">
        <v>3.4</v>
      </c>
      <c r="AE51" s="142">
        <v>2.25</v>
      </c>
      <c r="AF51" s="143">
        <v>1.4</v>
      </c>
      <c r="AG51" s="143">
        <v>1</v>
      </c>
      <c r="AH51" s="143">
        <v>99999</v>
      </c>
      <c r="AI51" s="142">
        <v>3.5</v>
      </c>
      <c r="AJ51" s="127">
        <v>1</v>
      </c>
      <c r="AM51" s="141" t="s">
        <v>228</v>
      </c>
      <c r="AN51" s="142">
        <v>3.4</v>
      </c>
      <c r="AO51" s="142">
        <v>2.25</v>
      </c>
      <c r="AP51" s="143">
        <v>1.4</v>
      </c>
      <c r="AQ51" s="143">
        <v>1</v>
      </c>
      <c r="AR51" s="143">
        <v>99999</v>
      </c>
      <c r="AS51" s="142">
        <v>3.5</v>
      </c>
      <c r="AT51" s="127">
        <v>1</v>
      </c>
    </row>
    <row r="52" spans="1:46" x14ac:dyDescent="0.25">
      <c r="A52" s="270"/>
      <c r="B52" s="56" t="s">
        <v>29</v>
      </c>
      <c r="C52" s="58">
        <f t="shared" ref="C52:D55" si="1">IF(C42=0,"-",($AA$7/C42)*$J$21*3.59999712)</f>
        <v>1.6762915317993488</v>
      </c>
      <c r="D52" s="58">
        <f t="shared" si="1"/>
        <v>3.0046735003950586</v>
      </c>
      <c r="E52" s="58">
        <f t="shared" si="0"/>
        <v>4.5176651211613645</v>
      </c>
      <c r="F52" s="58">
        <f t="shared" si="0"/>
        <v>6.8715294723166398</v>
      </c>
      <c r="G52" s="58">
        <f t="shared" si="0"/>
        <v>8.8841113261332278</v>
      </c>
      <c r="H52" s="58">
        <f t="shared" si="0"/>
        <v>2.1762582237231038</v>
      </c>
      <c r="I52" s="58"/>
      <c r="L52" s="83"/>
      <c r="M52" s="14"/>
      <c r="S52" s="53"/>
      <c r="AC52" s="125" t="s">
        <v>108</v>
      </c>
      <c r="AD52" s="140">
        <v>3.4550000000000001</v>
      </c>
      <c r="AE52" s="137">
        <v>1.952</v>
      </c>
      <c r="AF52" s="137">
        <v>1.25</v>
      </c>
      <c r="AG52" s="137">
        <v>0.89500000000000002</v>
      </c>
      <c r="AH52" s="137">
        <v>99999</v>
      </c>
      <c r="AI52" s="138">
        <v>3.3849999999999998</v>
      </c>
      <c r="AJ52" s="127">
        <v>4.2670000000000003</v>
      </c>
      <c r="AM52" s="125" t="s">
        <v>108</v>
      </c>
      <c r="AN52" s="140">
        <v>3.4550000000000001</v>
      </c>
      <c r="AO52" s="137">
        <v>1.952</v>
      </c>
      <c r="AP52" s="137">
        <v>1.25</v>
      </c>
      <c r="AQ52" s="137">
        <v>0.89500000000000002</v>
      </c>
      <c r="AR52" s="137">
        <v>99999</v>
      </c>
      <c r="AS52" s="138">
        <v>3.3849999999999998</v>
      </c>
      <c r="AT52" s="127">
        <v>4.2670000000000003</v>
      </c>
    </row>
    <row r="53" spans="1:46" x14ac:dyDescent="0.25">
      <c r="A53" s="270"/>
      <c r="B53" s="56" t="s">
        <v>30</v>
      </c>
      <c r="C53" s="58" t="str">
        <f t="shared" si="1"/>
        <v>-</v>
      </c>
      <c r="D53" s="58" t="str">
        <f t="shared" si="1"/>
        <v>-</v>
      </c>
      <c r="E53" s="58" t="str">
        <f t="shared" si="0"/>
        <v>-</v>
      </c>
      <c r="F53" s="58" t="str">
        <f t="shared" si="0"/>
        <v>-</v>
      </c>
      <c r="G53" s="58" t="str">
        <f t="shared" si="0"/>
        <v>-</v>
      </c>
      <c r="H53" s="58" t="str">
        <f t="shared" si="0"/>
        <v>-</v>
      </c>
      <c r="I53" s="58"/>
      <c r="L53" s="83"/>
      <c r="M53" s="14"/>
      <c r="S53" s="53"/>
      <c r="AC53" s="125" t="s">
        <v>11</v>
      </c>
      <c r="AD53" s="138">
        <v>7.44</v>
      </c>
      <c r="AE53" s="138">
        <v>4.0999999999999996</v>
      </c>
      <c r="AF53" s="138">
        <v>2.29</v>
      </c>
      <c r="AG53" s="138">
        <v>1.47</v>
      </c>
      <c r="AH53" s="138">
        <v>1</v>
      </c>
      <c r="AI53" s="138">
        <v>7.09</v>
      </c>
      <c r="AJ53" s="146">
        <v>1</v>
      </c>
      <c r="AM53" s="125" t="s">
        <v>11</v>
      </c>
      <c r="AN53" s="138">
        <v>7.44</v>
      </c>
      <c r="AO53" s="138">
        <v>4.0999999999999996</v>
      </c>
      <c r="AP53" s="138">
        <v>2.29</v>
      </c>
      <c r="AQ53" s="138">
        <v>1.47</v>
      </c>
      <c r="AR53" s="138">
        <v>1</v>
      </c>
      <c r="AS53" s="138">
        <v>7.09</v>
      </c>
      <c r="AT53" s="146">
        <v>1</v>
      </c>
    </row>
    <row r="54" spans="1:46" ht="15" customHeight="1" x14ac:dyDescent="0.25">
      <c r="A54" s="270"/>
      <c r="B54" s="56" t="s">
        <v>31</v>
      </c>
      <c r="C54" s="58" t="str">
        <f t="shared" si="1"/>
        <v>-</v>
      </c>
      <c r="D54" s="58" t="str">
        <f t="shared" si="1"/>
        <v>-</v>
      </c>
      <c r="E54" s="58" t="str">
        <f t="shared" si="0"/>
        <v>-</v>
      </c>
      <c r="F54" s="58" t="str">
        <f t="shared" si="0"/>
        <v>-</v>
      </c>
      <c r="G54" s="58" t="str">
        <f t="shared" si="0"/>
        <v>-</v>
      </c>
      <c r="H54" s="58" t="str">
        <f t="shared" si="0"/>
        <v>-</v>
      </c>
      <c r="I54" s="58"/>
      <c r="L54" s="83"/>
      <c r="M54" s="14"/>
      <c r="S54" s="53"/>
      <c r="AC54" s="125" t="s">
        <v>14</v>
      </c>
      <c r="AD54" s="137">
        <v>3.1150000000000002</v>
      </c>
      <c r="AE54" s="137">
        <v>1.772</v>
      </c>
      <c r="AF54" s="137">
        <v>1</v>
      </c>
      <c r="AG54" s="137">
        <v>99999</v>
      </c>
      <c r="AH54" s="137">
        <v>99999</v>
      </c>
      <c r="AI54" s="138">
        <v>3.738</v>
      </c>
      <c r="AJ54" s="146">
        <v>1</v>
      </c>
      <c r="AM54" s="125" t="s">
        <v>14</v>
      </c>
      <c r="AN54" s="137">
        <v>3.1150000000000002</v>
      </c>
      <c r="AO54" s="137">
        <v>1.772</v>
      </c>
      <c r="AP54" s="137">
        <v>1</v>
      </c>
      <c r="AQ54" s="137">
        <v>99999</v>
      </c>
      <c r="AR54" s="137">
        <v>99999</v>
      </c>
      <c r="AS54" s="138">
        <v>3.738</v>
      </c>
      <c r="AT54" s="146">
        <v>1</v>
      </c>
    </row>
    <row r="55" spans="1:46" ht="15.75" thickBot="1" x14ac:dyDescent="0.3">
      <c r="A55" s="270"/>
      <c r="B55" s="56" t="s">
        <v>32</v>
      </c>
      <c r="C55" s="58">
        <f t="shared" si="1"/>
        <v>0.44844610267505319</v>
      </c>
      <c r="D55" s="58">
        <f t="shared" si="1"/>
        <v>0.80381848592698191</v>
      </c>
      <c r="E55" s="58">
        <f t="shared" si="0"/>
        <v>1.2085781490533349</v>
      </c>
      <c r="F55" s="58">
        <f t="shared" si="0"/>
        <v>1.8382903885277257</v>
      </c>
      <c r="G55" s="58">
        <f t="shared" si="0"/>
        <v>2.3767017993935875</v>
      </c>
      <c r="H55" s="58">
        <f t="shared" si="0"/>
        <v>0.58219856172367679</v>
      </c>
      <c r="I55" s="58"/>
      <c r="L55" s="83"/>
      <c r="M55" s="14"/>
      <c r="S55" s="53"/>
      <c r="AC55" s="130" t="s">
        <v>15</v>
      </c>
      <c r="AD55" s="147">
        <v>3.7530000000000001</v>
      </c>
      <c r="AE55" s="147">
        <v>2.3719999999999999</v>
      </c>
      <c r="AF55" s="147">
        <v>1.482</v>
      </c>
      <c r="AG55" s="147">
        <v>1</v>
      </c>
      <c r="AH55" s="148">
        <v>99999</v>
      </c>
      <c r="AI55" s="147">
        <v>3.7530000000000001</v>
      </c>
      <c r="AJ55" s="152">
        <v>1</v>
      </c>
      <c r="AM55" s="169" t="s">
        <v>15</v>
      </c>
      <c r="AN55" s="170">
        <v>3.7530000000000001</v>
      </c>
      <c r="AO55" s="170">
        <v>2.3719999999999999</v>
      </c>
      <c r="AP55" s="170">
        <v>1.482</v>
      </c>
      <c r="AQ55" s="170">
        <v>1</v>
      </c>
      <c r="AR55" s="171">
        <v>99999</v>
      </c>
      <c r="AS55" s="170">
        <v>3.7530000000000001</v>
      </c>
      <c r="AT55" s="172">
        <v>1</v>
      </c>
    </row>
    <row r="56" spans="1:46" x14ac:dyDescent="0.25">
      <c r="A56" s="101"/>
      <c r="L56" s="83"/>
      <c r="M56" s="14"/>
      <c r="S56" s="53"/>
      <c r="AM56" s="125" t="s">
        <v>121</v>
      </c>
      <c r="AN56" s="138">
        <v>2.2494000000000001</v>
      </c>
      <c r="AO56" s="138">
        <v>1.0476000000000001</v>
      </c>
      <c r="AP56" s="137">
        <v>99999</v>
      </c>
      <c r="AQ56" s="137">
        <v>99999</v>
      </c>
      <c r="AR56" s="137">
        <v>99999</v>
      </c>
      <c r="AS56" s="137">
        <v>99999</v>
      </c>
      <c r="AT56" s="127">
        <v>1</v>
      </c>
    </row>
    <row r="57" spans="1:46" ht="15.75" thickBot="1" x14ac:dyDescent="0.3">
      <c r="A57" s="101"/>
      <c r="B57" s="273" t="s">
        <v>132</v>
      </c>
      <c r="C57" s="273"/>
      <c r="D57" s="273"/>
      <c r="E57" s="273"/>
      <c r="F57" s="273"/>
      <c r="G57" s="76">
        <f>Z8</f>
        <v>4400</v>
      </c>
      <c r="H57" s="76" t="s">
        <v>131</v>
      </c>
      <c r="I57" s="35"/>
      <c r="L57" s="83"/>
      <c r="M57" s="14"/>
      <c r="S57" s="53"/>
      <c r="AM57" s="125" t="s">
        <v>122</v>
      </c>
      <c r="AN57" s="138">
        <v>2.1269999999999998</v>
      </c>
      <c r="AO57" s="137">
        <v>1</v>
      </c>
      <c r="AP57" s="137">
        <v>99999</v>
      </c>
      <c r="AQ57" s="137">
        <v>99999</v>
      </c>
      <c r="AR57" s="137">
        <v>99999</v>
      </c>
      <c r="AS57" s="137">
        <v>99999</v>
      </c>
      <c r="AT57" s="127">
        <v>1</v>
      </c>
    </row>
    <row r="58" spans="1:46" ht="15.75" thickBot="1" x14ac:dyDescent="0.3">
      <c r="A58" s="101"/>
      <c r="B58" s="14"/>
      <c r="C58" s="274" t="s">
        <v>103</v>
      </c>
      <c r="D58" s="274"/>
      <c r="E58" s="274"/>
      <c r="F58" s="274"/>
      <c r="G58" s="274"/>
      <c r="H58" s="274"/>
      <c r="I58" s="199"/>
      <c r="L58" s="83"/>
      <c r="M58" s="14"/>
      <c r="S58" s="53"/>
      <c r="AM58" s="125" t="s">
        <v>120</v>
      </c>
      <c r="AN58" s="138">
        <v>2.78</v>
      </c>
      <c r="AO58" s="138">
        <v>1.1499999999999999</v>
      </c>
      <c r="AP58" s="137">
        <v>99999</v>
      </c>
      <c r="AQ58" s="137">
        <v>99999</v>
      </c>
      <c r="AR58" s="137">
        <v>99999</v>
      </c>
      <c r="AS58" s="137">
        <v>99999</v>
      </c>
      <c r="AT58" s="127">
        <v>1</v>
      </c>
    </row>
    <row r="59" spans="1:46" ht="16.5" thickBot="1" x14ac:dyDescent="0.3">
      <c r="A59" s="101"/>
      <c r="B59" s="59" t="s">
        <v>105</v>
      </c>
      <c r="C59" s="37" t="s">
        <v>27</v>
      </c>
      <c r="D59" s="37" t="s">
        <v>28</v>
      </c>
      <c r="E59" s="37" t="s">
        <v>29</v>
      </c>
      <c r="F59" s="37" t="s">
        <v>30</v>
      </c>
      <c r="G59" s="37" t="s">
        <v>31</v>
      </c>
      <c r="H59" s="37" t="s">
        <v>32</v>
      </c>
      <c r="I59" s="159"/>
      <c r="L59" s="83"/>
      <c r="M59" s="14"/>
      <c r="S59" s="53"/>
      <c r="AC59" s="252" t="s">
        <v>256</v>
      </c>
      <c r="AD59" s="253"/>
      <c r="AF59" s="252" t="s">
        <v>52</v>
      </c>
      <c r="AG59" s="253"/>
      <c r="AI59" s="252" t="s">
        <v>63</v>
      </c>
      <c r="AJ59" s="253"/>
      <c r="AM59" s="124" t="s">
        <v>213</v>
      </c>
      <c r="AN59" s="14">
        <v>1.64</v>
      </c>
      <c r="AO59" s="167">
        <v>1</v>
      </c>
      <c r="AP59" s="137">
        <v>99999</v>
      </c>
      <c r="AQ59" s="137">
        <v>99999</v>
      </c>
      <c r="AR59" s="137">
        <v>99999</v>
      </c>
      <c r="AS59" s="137">
        <v>99999</v>
      </c>
      <c r="AT59" s="127">
        <v>1</v>
      </c>
    </row>
    <row r="60" spans="1:46" ht="15" customHeight="1" x14ac:dyDescent="0.25">
      <c r="A60" s="270" t="s">
        <v>125</v>
      </c>
      <c r="B60" s="56" t="s">
        <v>27</v>
      </c>
      <c r="C60" s="58">
        <f>($AA$8/C40)*$J$21*3.59999712</f>
        <v>2.6308838023603114</v>
      </c>
      <c r="D60" s="58">
        <f>($AA$8/D40)*$J$21*3.59999712</f>
        <v>4.7157351174382942</v>
      </c>
      <c r="E60" s="58">
        <f t="shared" ref="E60:H65" si="2">IF(E40=0,"-",($AA$8/E40)*$J$21*3.59999712)</f>
        <v>7.0903251411128965</v>
      </c>
      <c r="F60" s="58">
        <f t="shared" si="2"/>
        <v>10.784636946029323</v>
      </c>
      <c r="G60" s="58">
        <f t="shared" si="2"/>
        <v>13.943317223109043</v>
      </c>
      <c r="H60" s="58">
        <f t="shared" si="2"/>
        <v>3.41556489544557</v>
      </c>
      <c r="I60" s="58"/>
      <c r="L60" s="83"/>
      <c r="M60" s="14"/>
      <c r="S60" s="53"/>
      <c r="AC60" s="50" t="s">
        <v>34</v>
      </c>
      <c r="AD60" s="67" t="s">
        <v>47</v>
      </c>
      <c r="AF60" s="50" t="s">
        <v>53</v>
      </c>
      <c r="AG60" s="67" t="s">
        <v>54</v>
      </c>
      <c r="AI60" s="17"/>
      <c r="AJ60" s="13"/>
      <c r="AM60" s="124" t="s">
        <v>229</v>
      </c>
      <c r="AN60" s="14">
        <v>2.14</v>
      </c>
      <c r="AO60" s="167">
        <v>1</v>
      </c>
      <c r="AP60" s="137">
        <v>99999</v>
      </c>
      <c r="AQ60" s="137">
        <v>99999</v>
      </c>
      <c r="AR60" s="137">
        <v>99999</v>
      </c>
      <c r="AS60" s="137">
        <v>99999</v>
      </c>
      <c r="AT60" s="127">
        <v>1</v>
      </c>
    </row>
    <row r="61" spans="1:46" x14ac:dyDescent="0.25">
      <c r="A61" s="270"/>
      <c r="B61" s="56" t="s">
        <v>28</v>
      </c>
      <c r="C61" s="58">
        <f>($AA$8/C41)*$J$21*3.59999712</f>
        <v>4.6248324178060782</v>
      </c>
      <c r="D61" s="58">
        <f>($AA$8/D41)*$J$21*3.59999712</f>
        <v>8.2897939564448571</v>
      </c>
      <c r="E61" s="58">
        <f t="shared" si="2"/>
        <v>12.464087367136949</v>
      </c>
      <c r="F61" s="58">
        <f t="shared" si="2"/>
        <v>18.958320590790827</v>
      </c>
      <c r="G61" s="58">
        <f t="shared" si="2"/>
        <v>24.510966788930407</v>
      </c>
      <c r="H61" s="58">
        <f t="shared" si="2"/>
        <v>6.0042238427273986</v>
      </c>
      <c r="I61" s="58"/>
      <c r="L61" s="83"/>
      <c r="M61" s="14"/>
      <c r="S61" s="53"/>
      <c r="AC61" s="16"/>
      <c r="AD61" s="13"/>
      <c r="AF61" s="4"/>
      <c r="AG61" s="6"/>
      <c r="AI61" s="16">
        <v>500</v>
      </c>
      <c r="AJ61" s="13">
        <v>500</v>
      </c>
      <c r="AM61" s="125" t="s">
        <v>10</v>
      </c>
      <c r="AN61" s="138">
        <v>2.15</v>
      </c>
      <c r="AO61" s="138">
        <v>0.75</v>
      </c>
      <c r="AP61" s="137">
        <v>99999</v>
      </c>
      <c r="AQ61" s="137">
        <v>99999</v>
      </c>
      <c r="AR61" s="137">
        <v>99999</v>
      </c>
      <c r="AS61" s="137">
        <v>99999</v>
      </c>
      <c r="AT61" s="127">
        <v>1</v>
      </c>
    </row>
    <row r="62" spans="1:46" x14ac:dyDescent="0.25">
      <c r="A62" s="270"/>
      <c r="B62" s="56" t="s">
        <v>29</v>
      </c>
      <c r="C62" s="58">
        <f t="shared" ref="C62:D65" si="3">IF(C42=0,"-",($AA$8/C42)*$J$21*3.59999712)</f>
        <v>8.19520304435237</v>
      </c>
      <c r="D62" s="58">
        <f t="shared" si="3"/>
        <v>14.689514890820284</v>
      </c>
      <c r="E62" s="58">
        <f t="shared" si="2"/>
        <v>22.086362814566673</v>
      </c>
      <c r="F62" s="58">
        <f t="shared" si="2"/>
        <v>33.594144086881343</v>
      </c>
      <c r="G62" s="58">
        <f t="shared" si="2"/>
        <v>43.433433149984673</v>
      </c>
      <c r="H62" s="58">
        <f t="shared" si="2"/>
        <v>10.639484649312951</v>
      </c>
      <c r="I62" s="58"/>
      <c r="L62" s="83"/>
      <c r="M62" s="14"/>
      <c r="S62" s="53"/>
      <c r="AC62" s="125" t="s">
        <v>246</v>
      </c>
      <c r="AD62" s="126">
        <v>1</v>
      </c>
      <c r="AF62" s="16" t="s">
        <v>90</v>
      </c>
      <c r="AG62" s="66">
        <f>P27</f>
        <v>2.0546015954477248</v>
      </c>
      <c r="AI62" s="16">
        <v>600</v>
      </c>
      <c r="AJ62" s="13">
        <v>600</v>
      </c>
      <c r="AM62" s="125" t="s">
        <v>123</v>
      </c>
      <c r="AN62" s="140">
        <v>1.8</v>
      </c>
      <c r="AO62" s="137">
        <v>1</v>
      </c>
      <c r="AP62" s="137">
        <v>99999</v>
      </c>
      <c r="AQ62" s="137">
        <v>99999</v>
      </c>
      <c r="AR62" s="137">
        <v>99999</v>
      </c>
      <c r="AS62" s="137">
        <v>99999</v>
      </c>
      <c r="AT62" s="127">
        <v>1</v>
      </c>
    </row>
    <row r="63" spans="1:46" x14ac:dyDescent="0.25">
      <c r="A63" s="270"/>
      <c r="B63" s="56" t="s">
        <v>30</v>
      </c>
      <c r="C63" s="58" t="str">
        <f t="shared" si="3"/>
        <v>-</v>
      </c>
      <c r="D63" s="58" t="str">
        <f t="shared" si="3"/>
        <v>-</v>
      </c>
      <c r="E63" s="58" t="str">
        <f t="shared" si="2"/>
        <v>-</v>
      </c>
      <c r="F63" s="58" t="str">
        <f t="shared" si="2"/>
        <v>-</v>
      </c>
      <c r="G63" s="58" t="str">
        <f t="shared" si="2"/>
        <v>-</v>
      </c>
      <c r="H63" s="58" t="str">
        <f t="shared" si="2"/>
        <v>-</v>
      </c>
      <c r="I63" s="58"/>
      <c r="L63" s="83"/>
      <c r="M63" s="14"/>
      <c r="S63" s="53"/>
      <c r="AC63" s="125" t="s">
        <v>247</v>
      </c>
      <c r="AD63" s="126">
        <f>P12</f>
        <v>3.99</v>
      </c>
      <c r="AF63" s="191" t="s">
        <v>261</v>
      </c>
      <c r="AG63" s="194">
        <v>1.25</v>
      </c>
      <c r="AI63" s="16">
        <v>700</v>
      </c>
      <c r="AJ63" s="13">
        <v>700</v>
      </c>
      <c r="AM63" s="124" t="s">
        <v>230</v>
      </c>
      <c r="AN63" s="14">
        <v>2.71</v>
      </c>
      <c r="AO63" s="14">
        <v>1.59</v>
      </c>
      <c r="AP63" s="137">
        <v>99999</v>
      </c>
      <c r="AQ63" s="137">
        <v>99999</v>
      </c>
      <c r="AR63" s="137">
        <v>99999</v>
      </c>
      <c r="AS63" s="137">
        <v>99999</v>
      </c>
      <c r="AT63" s="127">
        <v>1</v>
      </c>
    </row>
    <row r="64" spans="1:46" x14ac:dyDescent="0.25">
      <c r="A64" s="270"/>
      <c r="B64" s="56" t="s">
        <v>31</v>
      </c>
      <c r="C64" s="58" t="str">
        <f t="shared" si="3"/>
        <v>-</v>
      </c>
      <c r="D64" s="58" t="str">
        <f t="shared" si="3"/>
        <v>-</v>
      </c>
      <c r="E64" s="58" t="str">
        <f t="shared" si="2"/>
        <v>-</v>
      </c>
      <c r="F64" s="58" t="str">
        <f t="shared" si="2"/>
        <v>-</v>
      </c>
      <c r="G64" s="58" t="str">
        <f t="shared" si="2"/>
        <v>-</v>
      </c>
      <c r="H64" s="58" t="str">
        <f t="shared" si="2"/>
        <v>-</v>
      </c>
      <c r="I64" s="58"/>
      <c r="L64" s="83"/>
      <c r="M64" s="14"/>
      <c r="S64" s="53"/>
      <c r="AC64" s="125" t="s">
        <v>18</v>
      </c>
      <c r="AD64" s="127">
        <v>3.867</v>
      </c>
      <c r="AF64" s="117" t="s">
        <v>180</v>
      </c>
      <c r="AG64" s="192">
        <v>1.37</v>
      </c>
      <c r="AI64" s="16">
        <v>800</v>
      </c>
      <c r="AJ64" s="13">
        <v>800</v>
      </c>
      <c r="AM64" s="124" t="s">
        <v>193</v>
      </c>
      <c r="AN64" s="14">
        <v>2.2679999999999998</v>
      </c>
      <c r="AO64" s="14">
        <v>1.409</v>
      </c>
      <c r="AP64" s="137">
        <v>99999</v>
      </c>
      <c r="AQ64" s="137">
        <v>99999</v>
      </c>
      <c r="AR64" s="137">
        <v>99999</v>
      </c>
      <c r="AS64" s="137">
        <v>99999</v>
      </c>
      <c r="AT64" s="127">
        <v>1</v>
      </c>
    </row>
    <row r="65" spans="1:46" x14ac:dyDescent="0.25">
      <c r="A65" s="270"/>
      <c r="B65" s="56" t="s">
        <v>32</v>
      </c>
      <c r="C65" s="58">
        <f t="shared" si="3"/>
        <v>2.192403168633593</v>
      </c>
      <c r="D65" s="58">
        <f t="shared" si="3"/>
        <v>3.9297792645319118</v>
      </c>
      <c r="E65" s="58">
        <f t="shared" si="2"/>
        <v>5.9086042842607478</v>
      </c>
      <c r="F65" s="58">
        <f t="shared" si="2"/>
        <v>8.987197455024436</v>
      </c>
      <c r="G65" s="58">
        <f t="shared" si="2"/>
        <v>11.619431019257538</v>
      </c>
      <c r="H65" s="58">
        <f t="shared" si="2"/>
        <v>2.8463040795379748</v>
      </c>
      <c r="I65" s="58"/>
      <c r="L65" s="83"/>
      <c r="S65" s="53"/>
      <c r="AC65" s="125" t="s">
        <v>248</v>
      </c>
      <c r="AD65" s="127">
        <v>4.22</v>
      </c>
      <c r="AF65" s="117" t="s">
        <v>181</v>
      </c>
      <c r="AG65" s="192">
        <v>1.52</v>
      </c>
      <c r="AI65" s="16">
        <v>900</v>
      </c>
      <c r="AJ65" s="13">
        <v>900</v>
      </c>
      <c r="AM65" s="125" t="s">
        <v>21</v>
      </c>
      <c r="AN65" s="140">
        <v>2.4500000000000002</v>
      </c>
      <c r="AO65" s="140">
        <v>1.157</v>
      </c>
      <c r="AP65" s="137">
        <v>99999</v>
      </c>
      <c r="AQ65" s="137">
        <v>99999</v>
      </c>
      <c r="AR65" s="137">
        <v>99999</v>
      </c>
      <c r="AS65" s="137">
        <v>99999</v>
      </c>
      <c r="AT65" s="127">
        <v>1</v>
      </c>
    </row>
    <row r="66" spans="1:46" x14ac:dyDescent="0.25">
      <c r="L66" s="83"/>
      <c r="S66" s="53"/>
      <c r="AC66" s="125" t="s">
        <v>249</v>
      </c>
      <c r="AD66" s="127">
        <v>3.9</v>
      </c>
      <c r="AF66" s="117" t="s">
        <v>55</v>
      </c>
      <c r="AG66" s="193">
        <v>1.7050000000000001</v>
      </c>
      <c r="AI66" s="16">
        <v>1000</v>
      </c>
      <c r="AJ66" s="13">
        <v>1000</v>
      </c>
      <c r="AM66" s="124" t="s">
        <v>231</v>
      </c>
      <c r="AN66" s="14">
        <v>1.94</v>
      </c>
      <c r="AO66" s="167">
        <v>1</v>
      </c>
      <c r="AP66" s="137">
        <v>99999</v>
      </c>
      <c r="AQ66" s="137">
        <v>99999</v>
      </c>
      <c r="AR66" s="137">
        <v>99999</v>
      </c>
      <c r="AS66" s="137">
        <v>99999</v>
      </c>
      <c r="AT66" s="127">
        <v>1</v>
      </c>
    </row>
    <row r="67" spans="1:46" ht="15.75" thickBot="1" x14ac:dyDescent="0.3">
      <c r="L67" s="83"/>
      <c r="S67" s="53"/>
      <c r="AC67" s="125" t="s">
        <v>250</v>
      </c>
      <c r="AD67" s="127">
        <v>4.1669999999999998</v>
      </c>
      <c r="AF67" s="117" t="s">
        <v>113</v>
      </c>
      <c r="AG67" s="192">
        <v>1.81</v>
      </c>
      <c r="AI67" s="16">
        <v>1100</v>
      </c>
      <c r="AJ67" s="13">
        <v>1100</v>
      </c>
      <c r="AM67" s="155" t="s">
        <v>232</v>
      </c>
      <c r="AN67" s="156">
        <v>2.27</v>
      </c>
      <c r="AO67" s="156">
        <v>1.1599999999999999</v>
      </c>
      <c r="AP67" s="148">
        <v>99999</v>
      </c>
      <c r="AQ67" s="148">
        <v>99999</v>
      </c>
      <c r="AR67" s="148">
        <v>99999</v>
      </c>
      <c r="AS67" s="148">
        <v>99999</v>
      </c>
      <c r="AT67" s="168">
        <v>1</v>
      </c>
    </row>
    <row r="68" spans="1:46" x14ac:dyDescent="0.25">
      <c r="L68" s="83"/>
      <c r="S68" s="53"/>
      <c r="AC68" s="125" t="s">
        <v>251</v>
      </c>
      <c r="AD68" s="127">
        <v>3.895</v>
      </c>
      <c r="AF68" s="191" t="s">
        <v>262</v>
      </c>
      <c r="AG68" s="194">
        <v>1.83</v>
      </c>
      <c r="AI68" s="16">
        <v>1200</v>
      </c>
      <c r="AJ68" s="13">
        <v>1200</v>
      </c>
    </row>
    <row r="69" spans="1:46" x14ac:dyDescent="0.25">
      <c r="L69" s="83"/>
      <c r="S69" s="53"/>
      <c r="AC69" s="125" t="s">
        <v>252</v>
      </c>
      <c r="AD69" s="127">
        <v>3.8330000000000002</v>
      </c>
      <c r="AF69" s="114" t="s">
        <v>56</v>
      </c>
      <c r="AG69" s="193">
        <v>2.04</v>
      </c>
      <c r="AI69" s="16">
        <v>1300</v>
      </c>
      <c r="AJ69" s="13">
        <v>1300</v>
      </c>
    </row>
    <row r="70" spans="1:46" x14ac:dyDescent="0.25">
      <c r="L70" s="83"/>
      <c r="S70" s="53"/>
      <c r="AC70" s="125" t="s">
        <v>253</v>
      </c>
      <c r="AD70" s="127">
        <v>4.1180000000000003</v>
      </c>
      <c r="AF70" s="114" t="s">
        <v>57</v>
      </c>
      <c r="AG70" s="194">
        <v>2.16</v>
      </c>
      <c r="AI70" s="16">
        <v>1400</v>
      </c>
      <c r="AJ70" s="13">
        <v>1400</v>
      </c>
    </row>
    <row r="71" spans="1:46" ht="15.75" thickBot="1" x14ac:dyDescent="0.3">
      <c r="L71" s="83"/>
      <c r="S71" s="53"/>
      <c r="AC71" s="125" t="s">
        <v>254</v>
      </c>
      <c r="AD71" s="127">
        <v>3.8330000000000002</v>
      </c>
      <c r="AF71" s="191" t="s">
        <v>259</v>
      </c>
      <c r="AG71" s="194">
        <v>2.2949999999999999</v>
      </c>
      <c r="AI71" s="16">
        <v>1500</v>
      </c>
      <c r="AJ71" s="13">
        <v>1500</v>
      </c>
    </row>
    <row r="72" spans="1:46" ht="16.5" thickBot="1" x14ac:dyDescent="0.3">
      <c r="L72" s="83"/>
      <c r="S72" s="53"/>
      <c r="AC72" s="125" t="s">
        <v>255</v>
      </c>
      <c r="AD72" s="127">
        <v>3.5790000000000002</v>
      </c>
      <c r="AF72" s="114" t="s">
        <v>58</v>
      </c>
      <c r="AG72" s="193">
        <v>2.34</v>
      </c>
      <c r="AI72" s="16">
        <v>1600</v>
      </c>
      <c r="AJ72" s="13">
        <v>1600</v>
      </c>
      <c r="AM72" s="252" t="s">
        <v>174</v>
      </c>
      <c r="AN72" s="253"/>
    </row>
    <row r="73" spans="1:46" x14ac:dyDescent="0.25">
      <c r="L73" s="83"/>
      <c r="S73" s="53"/>
      <c r="AC73" s="125" t="s">
        <v>50</v>
      </c>
      <c r="AD73" s="127">
        <v>4.2670000000000003</v>
      </c>
      <c r="AF73" s="114" t="s">
        <v>59</v>
      </c>
      <c r="AG73" s="193">
        <v>2.36</v>
      </c>
      <c r="AI73" s="16">
        <v>1700</v>
      </c>
      <c r="AJ73" s="13">
        <v>1700</v>
      </c>
      <c r="AM73" s="16" t="s">
        <v>273</v>
      </c>
      <c r="AN73" s="217">
        <v>1</v>
      </c>
    </row>
    <row r="74" spans="1:46" x14ac:dyDescent="0.25">
      <c r="L74" s="83"/>
      <c r="S74" s="53"/>
      <c r="AF74" s="118" t="s">
        <v>61</v>
      </c>
      <c r="AG74" s="192">
        <v>2.5</v>
      </c>
      <c r="AI74" s="16">
        <v>1800</v>
      </c>
      <c r="AJ74" s="13">
        <v>1800</v>
      </c>
      <c r="AM74" s="213" t="s">
        <v>274</v>
      </c>
      <c r="AN74" s="217">
        <v>2</v>
      </c>
    </row>
    <row r="75" spans="1:46" x14ac:dyDescent="0.25">
      <c r="L75" s="83"/>
      <c r="S75" s="53"/>
      <c r="AF75" s="191" t="s">
        <v>260</v>
      </c>
      <c r="AG75" s="194">
        <v>2.5499999999999998</v>
      </c>
      <c r="AI75" s="16">
        <v>1900</v>
      </c>
      <c r="AJ75" s="13">
        <v>1900</v>
      </c>
      <c r="AM75" s="213" t="s">
        <v>275</v>
      </c>
      <c r="AN75" s="217">
        <v>3</v>
      </c>
    </row>
    <row r="76" spans="1:46" x14ac:dyDescent="0.25">
      <c r="L76" s="83"/>
      <c r="S76" s="53"/>
      <c r="AF76" s="191" t="s">
        <v>263</v>
      </c>
      <c r="AG76" s="194">
        <v>2.66</v>
      </c>
      <c r="AI76" s="16">
        <v>2000</v>
      </c>
      <c r="AJ76" s="13">
        <v>2000</v>
      </c>
      <c r="AM76" s="213" t="s">
        <v>276</v>
      </c>
      <c r="AN76" s="217">
        <v>4</v>
      </c>
    </row>
    <row r="77" spans="1:46" ht="15.75" thickBot="1" x14ac:dyDescent="0.3">
      <c r="L77" s="83"/>
      <c r="S77" s="53"/>
      <c r="AF77" s="114" t="s">
        <v>60</v>
      </c>
      <c r="AG77" s="193">
        <v>2.78</v>
      </c>
      <c r="AI77" s="16">
        <v>2100</v>
      </c>
      <c r="AJ77" s="13">
        <v>2100</v>
      </c>
      <c r="AM77" s="241" t="s">
        <v>277</v>
      </c>
      <c r="AN77" s="242">
        <f>P35</f>
        <v>1.9166666666666667</v>
      </c>
    </row>
    <row r="78" spans="1:46" x14ac:dyDescent="0.25">
      <c r="AF78" s="114" t="s">
        <v>238</v>
      </c>
      <c r="AG78" s="194">
        <v>3</v>
      </c>
      <c r="AI78" s="16">
        <v>2200</v>
      </c>
      <c r="AJ78" s="13">
        <v>2200</v>
      </c>
    </row>
    <row r="79" spans="1:46" x14ac:dyDescent="0.25">
      <c r="AF79" s="114" t="s">
        <v>62</v>
      </c>
      <c r="AG79" s="194">
        <v>3.3</v>
      </c>
      <c r="AI79" s="16">
        <v>2300</v>
      </c>
      <c r="AJ79" s="13">
        <v>2300</v>
      </c>
    </row>
    <row r="80" spans="1:46" x14ac:dyDescent="0.25">
      <c r="AF80" s="114" t="s">
        <v>239</v>
      </c>
      <c r="AG80" s="194">
        <v>3.33</v>
      </c>
      <c r="AI80" s="16">
        <v>2400</v>
      </c>
      <c r="AJ80" s="13">
        <v>2400</v>
      </c>
    </row>
    <row r="81" spans="29:36" ht="15.75" thickBot="1" x14ac:dyDescent="0.3">
      <c r="AF81" s="114" t="s">
        <v>182</v>
      </c>
      <c r="AG81" s="194">
        <v>3.4729999999999999</v>
      </c>
      <c r="AI81" s="16">
        <v>2500</v>
      </c>
      <c r="AJ81" s="13">
        <v>2500</v>
      </c>
    </row>
    <row r="82" spans="29:36" ht="16.5" thickBot="1" x14ac:dyDescent="0.3">
      <c r="AC82" s="252" t="s">
        <v>257</v>
      </c>
      <c r="AD82" s="253"/>
      <c r="AF82" s="191" t="s">
        <v>241</v>
      </c>
      <c r="AG82" s="194">
        <v>3.5550000000000002</v>
      </c>
      <c r="AI82" s="16">
        <v>2600</v>
      </c>
      <c r="AJ82" s="13">
        <v>2600</v>
      </c>
    </row>
    <row r="83" spans="29:36" x14ac:dyDescent="0.25">
      <c r="AC83" s="50" t="s">
        <v>34</v>
      </c>
      <c r="AD83" s="67" t="s">
        <v>47</v>
      </c>
      <c r="AF83" s="191" t="s">
        <v>242</v>
      </c>
      <c r="AG83" s="194">
        <v>3.75</v>
      </c>
      <c r="AI83" s="16">
        <v>2700</v>
      </c>
      <c r="AJ83" s="13">
        <v>2700</v>
      </c>
    </row>
    <row r="84" spans="29:36" x14ac:dyDescent="0.25">
      <c r="AC84" s="16"/>
      <c r="AD84" s="13"/>
      <c r="AF84" s="191" t="s">
        <v>240</v>
      </c>
      <c r="AG84" s="194">
        <v>3.7949999999999999</v>
      </c>
      <c r="AI84" s="16">
        <v>2800</v>
      </c>
      <c r="AJ84" s="13">
        <v>2800</v>
      </c>
    </row>
    <row r="85" spans="29:36" ht="15.75" thickBot="1" x14ac:dyDescent="0.3">
      <c r="AC85" s="125" t="s">
        <v>246</v>
      </c>
      <c r="AD85" s="126">
        <v>1</v>
      </c>
      <c r="AF85" s="195" t="s">
        <v>243</v>
      </c>
      <c r="AG85" s="196">
        <v>4.1100000000000003</v>
      </c>
      <c r="AI85" s="16">
        <v>2900</v>
      </c>
      <c r="AJ85" s="13">
        <v>2900</v>
      </c>
    </row>
    <row r="86" spans="29:36" x14ac:dyDescent="0.25">
      <c r="AC86" s="125" t="s">
        <v>247</v>
      </c>
      <c r="AD86" s="126">
        <f>P21</f>
        <v>1</v>
      </c>
      <c r="AI86" s="16">
        <v>3000</v>
      </c>
      <c r="AJ86" s="13">
        <v>3000</v>
      </c>
    </row>
    <row r="87" spans="29:36" x14ac:dyDescent="0.25">
      <c r="AC87" s="125" t="s">
        <v>18</v>
      </c>
      <c r="AD87" s="127">
        <v>3.867</v>
      </c>
      <c r="AI87" s="16">
        <v>3100</v>
      </c>
      <c r="AJ87" s="13">
        <v>3100</v>
      </c>
    </row>
    <row r="88" spans="29:36" x14ac:dyDescent="0.25">
      <c r="AC88" s="125" t="s">
        <v>248</v>
      </c>
      <c r="AD88" s="127">
        <v>4.22</v>
      </c>
      <c r="AI88" s="16">
        <v>3200</v>
      </c>
      <c r="AJ88" s="13">
        <v>3200</v>
      </c>
    </row>
    <row r="89" spans="29:36" x14ac:dyDescent="0.25">
      <c r="AC89" s="125" t="s">
        <v>249</v>
      </c>
      <c r="AD89" s="127">
        <v>3.9</v>
      </c>
      <c r="AI89" s="16">
        <v>3300</v>
      </c>
      <c r="AJ89" s="13">
        <v>3300</v>
      </c>
    </row>
    <row r="90" spans="29:36" x14ac:dyDescent="0.25">
      <c r="AC90" s="125" t="s">
        <v>250</v>
      </c>
      <c r="AD90" s="127">
        <v>4.1669999999999998</v>
      </c>
      <c r="AI90" s="16">
        <v>3400</v>
      </c>
      <c r="AJ90" s="13">
        <v>3400</v>
      </c>
    </row>
    <row r="91" spans="29:36" x14ac:dyDescent="0.25">
      <c r="AC91" s="125" t="s">
        <v>251</v>
      </c>
      <c r="AD91" s="127">
        <v>3.895</v>
      </c>
      <c r="AI91" s="16">
        <v>3500</v>
      </c>
      <c r="AJ91" s="13">
        <v>3500</v>
      </c>
    </row>
    <row r="92" spans="29:36" x14ac:dyDescent="0.25">
      <c r="AC92" s="125" t="s">
        <v>252</v>
      </c>
      <c r="AD92" s="127">
        <v>3.8330000000000002</v>
      </c>
      <c r="AI92" s="16">
        <v>3600</v>
      </c>
      <c r="AJ92" s="13">
        <v>3600</v>
      </c>
    </row>
    <row r="93" spans="29:36" x14ac:dyDescent="0.25">
      <c r="AC93" s="125" t="s">
        <v>253</v>
      </c>
      <c r="AD93" s="127">
        <v>4.1180000000000003</v>
      </c>
      <c r="AI93" s="16">
        <v>3700</v>
      </c>
      <c r="AJ93" s="13">
        <v>3700</v>
      </c>
    </row>
    <row r="94" spans="29:36" x14ac:dyDescent="0.25">
      <c r="AC94" s="125" t="s">
        <v>254</v>
      </c>
      <c r="AD94" s="127">
        <v>3.8330000000000002</v>
      </c>
      <c r="AI94" s="16">
        <v>3800</v>
      </c>
      <c r="AJ94" s="13">
        <v>3800</v>
      </c>
    </row>
    <row r="95" spans="29:36" x14ac:dyDescent="0.25">
      <c r="AC95" s="125" t="s">
        <v>255</v>
      </c>
      <c r="AD95" s="127">
        <v>3.5790000000000002</v>
      </c>
      <c r="AI95" s="16">
        <v>3900</v>
      </c>
      <c r="AJ95" s="13">
        <v>3900</v>
      </c>
    </row>
    <row r="96" spans="29:36" ht="15.75" thickBot="1" x14ac:dyDescent="0.3">
      <c r="AC96" s="125" t="s">
        <v>50</v>
      </c>
      <c r="AD96" s="127">
        <v>4.2670000000000003</v>
      </c>
      <c r="AI96" s="16">
        <v>4000</v>
      </c>
      <c r="AJ96" s="13">
        <v>4000</v>
      </c>
    </row>
    <row r="97" spans="32:36" ht="16.5" thickBot="1" x14ac:dyDescent="0.3">
      <c r="AF97" s="150" t="s">
        <v>49</v>
      </c>
      <c r="AG97" s="151"/>
      <c r="AI97" s="16">
        <v>4100</v>
      </c>
      <c r="AJ97" s="13">
        <v>4100</v>
      </c>
    </row>
    <row r="98" spans="32:36" x14ac:dyDescent="0.25">
      <c r="AF98" s="50" t="s">
        <v>245</v>
      </c>
      <c r="AG98" s="67" t="s">
        <v>47</v>
      </c>
      <c r="AI98" s="16">
        <v>4200</v>
      </c>
      <c r="AJ98" s="13">
        <v>4200</v>
      </c>
    </row>
    <row r="99" spans="32:36" ht="15.75" thickBot="1" x14ac:dyDescent="0.3">
      <c r="AF99" s="16"/>
      <c r="AG99" s="13"/>
      <c r="AI99" s="16">
        <v>4300</v>
      </c>
      <c r="AJ99" s="13">
        <v>4300</v>
      </c>
    </row>
    <row r="100" spans="32:36" x14ac:dyDescent="0.25">
      <c r="AF100" s="128" t="s">
        <v>48</v>
      </c>
      <c r="AG100" s="129">
        <f>P24</f>
        <v>4.8</v>
      </c>
      <c r="AI100" s="16">
        <v>4400</v>
      </c>
      <c r="AJ100" s="13">
        <v>4400</v>
      </c>
    </row>
    <row r="101" spans="32:36" x14ac:dyDescent="0.25">
      <c r="AF101" s="125" t="s">
        <v>39</v>
      </c>
      <c r="AG101" s="131">
        <v>5.15</v>
      </c>
      <c r="AI101" s="16">
        <v>4500</v>
      </c>
      <c r="AJ101" s="13">
        <v>4500</v>
      </c>
    </row>
    <row r="102" spans="32:36" x14ac:dyDescent="0.25">
      <c r="AF102" s="125" t="s">
        <v>16</v>
      </c>
      <c r="AG102" s="132">
        <v>4.57</v>
      </c>
      <c r="AI102" s="16">
        <v>4600</v>
      </c>
      <c r="AJ102" s="13">
        <v>4600</v>
      </c>
    </row>
    <row r="103" spans="32:36" x14ac:dyDescent="0.25">
      <c r="AF103" s="125" t="s">
        <v>17</v>
      </c>
      <c r="AG103" s="131">
        <v>4.7140000000000004</v>
      </c>
      <c r="AI103" s="16">
        <v>4700</v>
      </c>
      <c r="AJ103" s="13">
        <v>4700</v>
      </c>
    </row>
    <row r="104" spans="32:36" ht="45" x14ac:dyDescent="0.25">
      <c r="AF104" s="124" t="s">
        <v>183</v>
      </c>
      <c r="AG104" s="133">
        <v>5.57</v>
      </c>
      <c r="AI104" s="16">
        <v>4800</v>
      </c>
      <c r="AJ104" s="13">
        <v>4800</v>
      </c>
    </row>
    <row r="105" spans="32:36" ht="30" x14ac:dyDescent="0.25">
      <c r="AF105" s="124" t="s">
        <v>184</v>
      </c>
      <c r="AG105" s="136">
        <v>5.38</v>
      </c>
      <c r="AI105" s="16">
        <v>4900</v>
      </c>
      <c r="AJ105" s="13">
        <v>4900</v>
      </c>
    </row>
    <row r="106" spans="32:36" ht="30" x14ac:dyDescent="0.25">
      <c r="AF106" s="124" t="s">
        <v>185</v>
      </c>
      <c r="AG106" s="136">
        <v>4.5599999999999996</v>
      </c>
      <c r="AI106" s="16">
        <v>5000</v>
      </c>
      <c r="AJ106" s="13">
        <v>5000</v>
      </c>
    </row>
    <row r="107" spans="32:36" ht="30" x14ac:dyDescent="0.25">
      <c r="AF107" s="124" t="s">
        <v>186</v>
      </c>
      <c r="AG107" s="136">
        <v>6.6</v>
      </c>
      <c r="AI107" s="16">
        <v>5100</v>
      </c>
      <c r="AJ107" s="13">
        <v>5100</v>
      </c>
    </row>
    <row r="108" spans="32:36" ht="30" x14ac:dyDescent="0.25">
      <c r="AF108" s="124" t="s">
        <v>197</v>
      </c>
      <c r="AG108" s="136">
        <v>6.17</v>
      </c>
      <c r="AI108" s="16">
        <v>5200</v>
      </c>
      <c r="AJ108" s="13">
        <v>5200</v>
      </c>
    </row>
    <row r="109" spans="32:36" x14ac:dyDescent="0.25">
      <c r="AF109" s="125" t="s">
        <v>41</v>
      </c>
      <c r="AG109" s="134">
        <v>3.64</v>
      </c>
      <c r="AI109" s="16">
        <v>5300</v>
      </c>
      <c r="AJ109" s="13">
        <v>5300</v>
      </c>
    </row>
    <row r="110" spans="32:36" x14ac:dyDescent="0.25">
      <c r="AF110" s="125" t="s">
        <v>42</v>
      </c>
      <c r="AG110" s="134">
        <v>3.46</v>
      </c>
      <c r="AI110" s="16">
        <v>5400</v>
      </c>
      <c r="AJ110" s="13">
        <v>5400</v>
      </c>
    </row>
    <row r="111" spans="32:36" x14ac:dyDescent="0.25">
      <c r="AF111" s="124" t="s">
        <v>187</v>
      </c>
      <c r="AG111" s="136">
        <v>5.1660000000000004</v>
      </c>
      <c r="AI111" s="16">
        <v>5500</v>
      </c>
      <c r="AJ111" s="13">
        <v>5500</v>
      </c>
    </row>
    <row r="112" spans="32:36" x14ac:dyDescent="0.25">
      <c r="AF112" s="125" t="s">
        <v>36</v>
      </c>
      <c r="AG112" s="131">
        <v>6.83</v>
      </c>
      <c r="AI112" s="16">
        <v>5600</v>
      </c>
      <c r="AJ112" s="13">
        <v>5600</v>
      </c>
    </row>
    <row r="113" spans="32:36" x14ac:dyDescent="0.25">
      <c r="AF113" s="125" t="s">
        <v>9</v>
      </c>
      <c r="AG113" s="134">
        <v>5.125</v>
      </c>
      <c r="AI113" s="16">
        <v>5700</v>
      </c>
      <c r="AJ113" s="13">
        <v>5700</v>
      </c>
    </row>
    <row r="114" spans="32:36" x14ac:dyDescent="0.25">
      <c r="AF114" s="124" t="s">
        <v>188</v>
      </c>
      <c r="AG114" s="136">
        <v>5.36</v>
      </c>
      <c r="AI114" s="16">
        <v>5800</v>
      </c>
      <c r="AJ114" s="13">
        <v>5800</v>
      </c>
    </row>
    <row r="115" spans="32:36" x14ac:dyDescent="0.25">
      <c r="AF115" s="124" t="s">
        <v>189</v>
      </c>
      <c r="AG115" s="136">
        <v>4.6399999999999997</v>
      </c>
      <c r="AI115" s="16">
        <v>5900</v>
      </c>
      <c r="AJ115" s="13">
        <v>5900</v>
      </c>
    </row>
    <row r="116" spans="32:36" ht="30" x14ac:dyDescent="0.25">
      <c r="AF116" s="124" t="s">
        <v>190</v>
      </c>
      <c r="AG116" s="136">
        <v>5.36</v>
      </c>
      <c r="AI116" s="16">
        <v>6000</v>
      </c>
      <c r="AJ116" s="13">
        <v>6000</v>
      </c>
    </row>
    <row r="117" spans="32:36" ht="30" x14ac:dyDescent="0.25">
      <c r="AF117" s="124" t="s">
        <v>191</v>
      </c>
      <c r="AG117" s="136">
        <v>6.7</v>
      </c>
      <c r="AI117" s="16">
        <v>6100</v>
      </c>
      <c r="AJ117" s="13">
        <v>6100</v>
      </c>
    </row>
    <row r="118" spans="32:36" ht="30" x14ac:dyDescent="0.25">
      <c r="AF118" s="124" t="s">
        <v>199</v>
      </c>
      <c r="AG118" s="136">
        <v>4.0999999999999996</v>
      </c>
      <c r="AI118" s="16">
        <v>6200</v>
      </c>
      <c r="AJ118" s="13">
        <v>6200</v>
      </c>
    </row>
    <row r="119" spans="32:36" x14ac:dyDescent="0.25">
      <c r="AF119" s="125" t="s">
        <v>45</v>
      </c>
      <c r="AG119" s="134">
        <v>15.5</v>
      </c>
      <c r="AI119" s="16">
        <v>6300</v>
      </c>
      <c r="AJ119" s="13">
        <v>6300</v>
      </c>
    </row>
    <row r="120" spans="32:36" x14ac:dyDescent="0.25">
      <c r="AF120" s="125" t="s">
        <v>46</v>
      </c>
      <c r="AG120" s="131">
        <v>7.5</v>
      </c>
      <c r="AI120" s="16">
        <v>6400</v>
      </c>
      <c r="AJ120" s="13">
        <v>6400</v>
      </c>
    </row>
    <row r="121" spans="32:36" ht="30" x14ac:dyDescent="0.25">
      <c r="AF121" s="124" t="s">
        <v>200</v>
      </c>
      <c r="AG121" s="136">
        <v>3.92</v>
      </c>
      <c r="AI121" s="16">
        <v>6500</v>
      </c>
      <c r="AJ121" s="13">
        <v>6500</v>
      </c>
    </row>
    <row r="122" spans="32:36" x14ac:dyDescent="0.25">
      <c r="AF122" s="125" t="s">
        <v>37</v>
      </c>
      <c r="AG122" s="131">
        <v>5.17</v>
      </c>
      <c r="AI122" s="16">
        <v>6600</v>
      </c>
      <c r="AJ122" s="13">
        <v>6600</v>
      </c>
    </row>
    <row r="123" spans="32:36" ht="30" x14ac:dyDescent="0.25">
      <c r="AF123" s="124" t="s">
        <v>192</v>
      </c>
      <c r="AG123" s="136">
        <v>5.86</v>
      </c>
      <c r="AI123" s="16">
        <v>6700</v>
      </c>
      <c r="AJ123" s="13">
        <v>6700</v>
      </c>
    </row>
    <row r="124" spans="32:36" ht="30" x14ac:dyDescent="0.25">
      <c r="AF124" s="124" t="s">
        <v>202</v>
      </c>
      <c r="AG124" s="136">
        <v>4.1109999999999998</v>
      </c>
      <c r="AI124" s="16">
        <v>6800</v>
      </c>
      <c r="AJ124" s="13">
        <v>6800</v>
      </c>
    </row>
    <row r="125" spans="32:36" ht="30" x14ac:dyDescent="0.25">
      <c r="AF125" s="124" t="s">
        <v>201</v>
      </c>
      <c r="AG125" s="136">
        <v>3.7269999999999999</v>
      </c>
      <c r="AI125" s="16">
        <v>6900</v>
      </c>
      <c r="AJ125" s="13">
        <v>6900</v>
      </c>
    </row>
    <row r="126" spans="32:36" ht="30" x14ac:dyDescent="0.25">
      <c r="AF126" s="124" t="s">
        <v>193</v>
      </c>
      <c r="AG126" s="136">
        <v>3.9089999999999998</v>
      </c>
      <c r="AI126" s="16">
        <v>7000</v>
      </c>
      <c r="AJ126" s="13">
        <v>7000</v>
      </c>
    </row>
    <row r="127" spans="32:36" ht="30" x14ac:dyDescent="0.25">
      <c r="AF127" s="124" t="s">
        <v>198</v>
      </c>
      <c r="AG127" s="136">
        <v>4.22</v>
      </c>
      <c r="AI127" s="16">
        <v>7100</v>
      </c>
      <c r="AJ127" s="13">
        <v>7100</v>
      </c>
    </row>
    <row r="128" spans="32:36" x14ac:dyDescent="0.25">
      <c r="AF128" s="125" t="s">
        <v>51</v>
      </c>
      <c r="AG128" s="131">
        <v>5.86</v>
      </c>
      <c r="AI128" s="16">
        <v>7200</v>
      </c>
      <c r="AJ128" s="13">
        <v>7200</v>
      </c>
    </row>
    <row r="129" spans="32:36" x14ac:dyDescent="0.25">
      <c r="AF129" s="125" t="s">
        <v>40</v>
      </c>
      <c r="AG129" s="134">
        <v>4.78</v>
      </c>
      <c r="AI129" s="16">
        <v>7300</v>
      </c>
      <c r="AJ129" s="13">
        <v>7300</v>
      </c>
    </row>
    <row r="130" spans="32:36" x14ac:dyDescent="0.25">
      <c r="AF130" s="125" t="s">
        <v>44</v>
      </c>
      <c r="AG130" s="134">
        <v>7.44</v>
      </c>
      <c r="AI130" s="16">
        <v>7400</v>
      </c>
      <c r="AJ130" s="13">
        <v>7400</v>
      </c>
    </row>
    <row r="131" spans="32:36" x14ac:dyDescent="0.25">
      <c r="AF131" s="125" t="s">
        <v>43</v>
      </c>
      <c r="AG131" s="134">
        <v>3.15</v>
      </c>
      <c r="AI131" s="16">
        <v>7500</v>
      </c>
      <c r="AJ131" s="13">
        <v>7500</v>
      </c>
    </row>
    <row r="132" spans="32:36" x14ac:dyDescent="0.25">
      <c r="AF132" s="125" t="s">
        <v>10</v>
      </c>
      <c r="AG132" s="131">
        <v>8.3460000000000001</v>
      </c>
      <c r="AI132" s="16">
        <v>7600</v>
      </c>
      <c r="AJ132" s="13">
        <v>7600</v>
      </c>
    </row>
    <row r="133" spans="32:36" x14ac:dyDescent="0.25">
      <c r="AF133" s="125" t="s">
        <v>35</v>
      </c>
      <c r="AG133" s="131">
        <v>3.9</v>
      </c>
      <c r="AI133" s="16">
        <v>7700</v>
      </c>
      <c r="AJ133" s="13">
        <v>7700</v>
      </c>
    </row>
    <row r="134" spans="32:36" x14ac:dyDescent="0.25">
      <c r="AF134" s="124" t="s">
        <v>194</v>
      </c>
      <c r="AG134" s="136">
        <v>4.4400000000000004</v>
      </c>
      <c r="AI134" s="16">
        <v>7800</v>
      </c>
      <c r="AJ134" s="13">
        <v>7800</v>
      </c>
    </row>
    <row r="135" spans="32:36" x14ac:dyDescent="0.25">
      <c r="AF135" s="124" t="s">
        <v>195</v>
      </c>
      <c r="AG135" s="136">
        <v>4.4400000000000004</v>
      </c>
      <c r="AI135" s="16">
        <v>7900</v>
      </c>
      <c r="AJ135" s="13">
        <v>7900</v>
      </c>
    </row>
    <row r="136" spans="32:36" x14ac:dyDescent="0.25">
      <c r="AF136" s="124" t="s">
        <v>196</v>
      </c>
      <c r="AG136" s="136">
        <v>4.3</v>
      </c>
      <c r="AI136" s="16">
        <v>8000</v>
      </c>
      <c r="AJ136" s="13">
        <v>8000</v>
      </c>
    </row>
    <row r="137" spans="32:36" x14ac:dyDescent="0.25">
      <c r="AF137" s="124" t="s">
        <v>203</v>
      </c>
      <c r="AG137" s="136">
        <v>4.2699999999999996</v>
      </c>
      <c r="AI137" s="16">
        <v>8100</v>
      </c>
      <c r="AJ137" s="13">
        <v>8100</v>
      </c>
    </row>
    <row r="138" spans="32:36" ht="15.75" thickBot="1" x14ac:dyDescent="0.3">
      <c r="AF138" s="130" t="s">
        <v>38</v>
      </c>
      <c r="AG138" s="135">
        <v>5.125</v>
      </c>
      <c r="AI138" s="16">
        <v>8200</v>
      </c>
      <c r="AJ138" s="13">
        <v>8200</v>
      </c>
    </row>
    <row r="139" spans="32:36" x14ac:dyDescent="0.25">
      <c r="AI139" s="16">
        <v>8300</v>
      </c>
      <c r="AJ139" s="13">
        <v>8300</v>
      </c>
    </row>
    <row r="140" spans="32:36" x14ac:dyDescent="0.25">
      <c r="AI140" s="16">
        <v>8400</v>
      </c>
      <c r="AJ140" s="13">
        <v>8400</v>
      </c>
    </row>
    <row r="141" spans="32:36" x14ac:dyDescent="0.25">
      <c r="AI141" s="16">
        <v>8500</v>
      </c>
      <c r="AJ141" s="13">
        <v>8500</v>
      </c>
    </row>
    <row r="142" spans="32:36" x14ac:dyDescent="0.25">
      <c r="AI142" s="16">
        <v>8600</v>
      </c>
      <c r="AJ142" s="13">
        <v>8600</v>
      </c>
    </row>
    <row r="143" spans="32:36" x14ac:dyDescent="0.25">
      <c r="AI143" s="16">
        <v>8700</v>
      </c>
      <c r="AJ143" s="13">
        <v>8700</v>
      </c>
    </row>
    <row r="144" spans="32:36" x14ac:dyDescent="0.25">
      <c r="AI144" s="16">
        <v>8800</v>
      </c>
      <c r="AJ144" s="13">
        <v>8800</v>
      </c>
    </row>
    <row r="145" spans="35:36" x14ac:dyDescent="0.25">
      <c r="AI145" s="16">
        <v>8900</v>
      </c>
      <c r="AJ145" s="13">
        <v>8900</v>
      </c>
    </row>
    <row r="146" spans="35:36" x14ac:dyDescent="0.25">
      <c r="AI146" s="16">
        <v>9000</v>
      </c>
      <c r="AJ146" s="13">
        <v>9000</v>
      </c>
    </row>
    <row r="147" spans="35:36" x14ac:dyDescent="0.25">
      <c r="AI147" s="16">
        <v>9100</v>
      </c>
      <c r="AJ147" s="13">
        <v>9100</v>
      </c>
    </row>
    <row r="148" spans="35:36" x14ac:dyDescent="0.25">
      <c r="AI148" s="16">
        <v>9200</v>
      </c>
      <c r="AJ148" s="13">
        <v>9200</v>
      </c>
    </row>
    <row r="149" spans="35:36" x14ac:dyDescent="0.25">
      <c r="AI149" s="16">
        <v>9300</v>
      </c>
      <c r="AJ149" s="13">
        <v>9300</v>
      </c>
    </row>
    <row r="150" spans="35:36" x14ac:dyDescent="0.25">
      <c r="AI150" s="16">
        <v>9400</v>
      </c>
      <c r="AJ150" s="13">
        <v>9400</v>
      </c>
    </row>
    <row r="151" spans="35:36" x14ac:dyDescent="0.25">
      <c r="AI151" s="16">
        <v>9500</v>
      </c>
      <c r="AJ151" s="13">
        <v>9500</v>
      </c>
    </row>
    <row r="152" spans="35:36" x14ac:dyDescent="0.25">
      <c r="AI152" s="16">
        <v>9600</v>
      </c>
      <c r="AJ152" s="13">
        <v>9600</v>
      </c>
    </row>
    <row r="153" spans="35:36" x14ac:dyDescent="0.25">
      <c r="AI153" s="16">
        <v>9700</v>
      </c>
      <c r="AJ153" s="13">
        <v>9700</v>
      </c>
    </row>
    <row r="154" spans="35:36" x14ac:dyDescent="0.25">
      <c r="AI154" s="16">
        <v>9800</v>
      </c>
      <c r="AJ154" s="13">
        <v>9800</v>
      </c>
    </row>
    <row r="155" spans="35:36" x14ac:dyDescent="0.25">
      <c r="AI155" s="16">
        <v>9900</v>
      </c>
      <c r="AJ155" s="13">
        <v>9900</v>
      </c>
    </row>
    <row r="156" spans="35:36" ht="15.75" thickBot="1" x14ac:dyDescent="0.3">
      <c r="AI156" s="18">
        <v>10000</v>
      </c>
      <c r="AJ156" s="19">
        <v>10000</v>
      </c>
    </row>
  </sheetData>
  <sheetProtection password="C660" sheet="1" objects="1" scenarios="1"/>
  <protectedRanges>
    <protectedRange sqref="D11 D12 F14 G15 H14 I15 J15 J20 G21 H29 J29 P6:P12 P15:P21 P24 P27 P29:P31 P35 P37 Q37" name="Oblast1"/>
  </protectedRanges>
  <mergeCells count="31">
    <mergeCell ref="AM3:AT3"/>
    <mergeCell ref="AC59:AD59"/>
    <mergeCell ref="AF59:AG59"/>
    <mergeCell ref="AI59:AJ59"/>
    <mergeCell ref="AC82:AD82"/>
    <mergeCell ref="AM72:AN72"/>
    <mergeCell ref="B57:F57"/>
    <mergeCell ref="A60:A65"/>
    <mergeCell ref="C58:H58"/>
    <mergeCell ref="AC3:AJ3"/>
    <mergeCell ref="B37:H37"/>
    <mergeCell ref="C38:H38"/>
    <mergeCell ref="A40:A45"/>
    <mergeCell ref="B47:F47"/>
    <mergeCell ref="C48:H48"/>
    <mergeCell ref="T5:U5"/>
    <mergeCell ref="V5:W5"/>
    <mergeCell ref="Y5:AA5"/>
    <mergeCell ref="N3:Q3"/>
    <mergeCell ref="C27:F27"/>
    <mergeCell ref="H27:K27"/>
    <mergeCell ref="H13:I13"/>
    <mergeCell ref="F13:G13"/>
    <mergeCell ref="F14:G14"/>
    <mergeCell ref="H29:I29"/>
    <mergeCell ref="A50:A55"/>
    <mergeCell ref="H31:I31"/>
    <mergeCell ref="H32:I32"/>
    <mergeCell ref="H33:I33"/>
    <mergeCell ref="B35:I35"/>
    <mergeCell ref="H14:I14"/>
  </mergeCells>
  <conditionalFormatting sqref="D11:D12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0:G44">
    <cfRule type="colorScale" priority="16">
      <colorScale>
        <cfvo type="min"/>
        <cfvo type="max"/>
        <color theme="0"/>
        <color rgb="FFFFEF9C"/>
      </colorScale>
    </cfRule>
  </conditionalFormatting>
  <conditionalFormatting sqref="C50:G54">
    <cfRule type="colorScale" priority="14">
      <colorScale>
        <cfvo type="min"/>
        <cfvo type="max"/>
        <color theme="3" tint="0.79998168889431442"/>
        <color theme="0"/>
      </colorScale>
    </cfRule>
  </conditionalFormatting>
  <conditionalFormatting sqref="C60:G64">
    <cfRule type="colorScale" priority="13">
      <colorScale>
        <cfvo type="min"/>
        <cfvo type="max"/>
        <color theme="0"/>
        <color theme="9" tint="0.59999389629810485"/>
      </colorScale>
    </cfRule>
  </conditionalFormatting>
  <conditionalFormatting sqref="E29:E30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31:J32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7 G57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G62">
    <cfRule type="iconSet" priority="7">
      <iconSet iconSet="3Flags">
        <cfvo type="percent" val="0"/>
        <cfvo type="percent" val="33"/>
        <cfvo type="percent" val="67"/>
      </iconSet>
    </cfRule>
  </conditionalFormatting>
  <conditionalFormatting sqref="AD7:AI7">
    <cfRule type="iconSet" priority="8">
      <iconSet iconSet="3Flags">
        <cfvo type="percent" val="0"/>
        <cfvo type="percent" val="33"/>
        <cfvo type="percent" val="67"/>
      </iconSet>
    </cfRule>
  </conditionalFormatting>
  <conditionalFormatting sqref="AN7:AS7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AJ7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AG100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AD63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AD86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AN77">
    <cfRule type="iconSet" priority="1">
      <iconSet iconSet="3Flags">
        <cfvo type="percent" val="0"/>
        <cfvo type="percent" val="33"/>
        <cfvo type="percent" val="67"/>
      </iconSet>
    </cfRule>
  </conditionalFormatting>
  <dataValidations xWindow="220" yWindow="526" count="11">
    <dataValidation type="list" allowBlank="1" showInputMessage="1" showErrorMessage="1" sqref="J29">
      <formula1>$V$6:$V$11</formula1>
    </dataValidation>
    <dataValidation type="list" allowBlank="1" showInputMessage="1" showErrorMessage="1" sqref="H29">
      <formula1>$T$6:$T$11</formula1>
    </dataValidation>
    <dataValidation type="list" allowBlank="1" showInputMessage="1" showErrorMessage="1" promptTitle="Vyber:" prompt="Maximální otáčky motoru_x000a_" sqref="D12">
      <formula1>$AI$76:$AI$156</formula1>
    </dataValidation>
    <dataValidation type="list" allowBlank="1" showInputMessage="1" showErrorMessage="1" promptTitle="Vyber:" prompt="Velikost hacího kola (pneumatiky)" sqref="J20">
      <formula1>$AF$62:$AF$85</formula1>
    </dataValidation>
    <dataValidation type="list" allowBlank="1" showInputMessage="1" showErrorMessage="1" promptTitle="Vyber:" prompt="Minimální otáčky motoru" sqref="D11">
      <formula1>$AI$61:$AI$76</formula1>
    </dataValidation>
    <dataValidation type="list" allowBlank="1" showInputMessage="1" showErrorMessage="1" promptTitle="Vyber:" prompt="První převodovku" sqref="F14:G14">
      <formula1>$AC$6:$AC$55</formula1>
    </dataValidation>
    <dataValidation type="list" allowBlank="1" showInputMessage="1" showErrorMessage="1" promptTitle="Vyber:" prompt="Stálý převod" sqref="G15">
      <formula1>$AC$62:$AC$73</formula1>
    </dataValidation>
    <dataValidation type="list" allowBlank="1" showInputMessage="1" showErrorMessage="1" promptTitle="Vyber:" prompt="Stálý převod" sqref="I15">
      <formula1>$AC$85:$AC$96</formula1>
    </dataValidation>
    <dataValidation type="list" allowBlank="1" showInputMessage="1" showErrorMessage="1" promptTitle="Vyber:" prompt="Hnací nápravu_x000a_" sqref="J15">
      <formula1>$AF$100:$AF$138</formula1>
    </dataValidation>
    <dataValidation type="list" allowBlank="1" showInputMessage="1" showErrorMessage="1" promptTitle="Vyber:" prompt="Druhou převodovku nebo redukční př." sqref="H14:I14">
      <formula1>$AM$6:$AM$67</formula1>
    </dataValidation>
    <dataValidation type="list" allowBlank="1" showInputMessage="1" showErrorMessage="1" promptTitle="Vyber:" prompt="Mezipřevodový poměr tvořený řetězem, či mezipřevodovkou." sqref="G21">
      <formula1>$AM$73:$AM$77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U8:U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3C7F8A4C-6BDB-4A2D-8623-BE0F407E8AF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J33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W155"/>
  <sheetViews>
    <sheetView showGridLines="0" zoomScaleNormal="100" workbookViewId="0">
      <selection activeCell="H32" sqref="H32"/>
    </sheetView>
  </sheetViews>
  <sheetFormatPr defaultRowHeight="15" x14ac:dyDescent="0.25"/>
  <cols>
    <col min="1" max="1" width="9.140625" customWidth="1"/>
    <col min="2" max="2" width="3.140625" customWidth="1"/>
    <col min="3" max="3" width="11.85546875" customWidth="1"/>
    <col min="4" max="4" width="10.5703125" customWidth="1"/>
    <col min="6" max="9" width="9.28515625" customWidth="1"/>
    <col min="10" max="10" width="15" customWidth="1"/>
    <col min="11" max="11" width="14.85546875" customWidth="1"/>
    <col min="12" max="12" width="14.7109375" customWidth="1"/>
    <col min="13" max="13" width="6" customWidth="1"/>
    <col min="14" max="14" width="13" customWidth="1"/>
    <col min="15" max="15" width="4.7109375" customWidth="1"/>
    <col min="16" max="16" width="12" customWidth="1"/>
    <col min="17" max="17" width="11" customWidth="1"/>
    <col min="18" max="18" width="9.28515625" customWidth="1"/>
    <col min="19" max="19" width="4" customWidth="1"/>
    <col min="20" max="20" width="3" customWidth="1"/>
    <col min="21" max="21" width="4" customWidth="1"/>
    <col min="22" max="22" width="10" customWidth="1"/>
    <col min="23" max="23" width="3" customWidth="1"/>
    <col min="24" max="24" width="10.85546875" customWidth="1"/>
    <col min="25" max="25" width="12.42578125" customWidth="1"/>
    <col min="26" max="26" width="11" customWidth="1"/>
    <col min="27" max="27" width="11.7109375" customWidth="1"/>
    <col min="32" max="32" width="20.7109375" customWidth="1"/>
    <col min="33" max="41" width="9.140625" customWidth="1"/>
    <col min="42" max="42" width="22.140625" customWidth="1"/>
    <col min="43" max="49" width="9.140625" customWidth="1"/>
  </cols>
  <sheetData>
    <row r="1" spans="3:49" x14ac:dyDescent="0.25">
      <c r="N1" s="53"/>
      <c r="T1" s="53"/>
    </row>
    <row r="2" spans="3:49" ht="23.25" thickBot="1" x14ac:dyDescent="0.35">
      <c r="G2" s="89" t="s">
        <v>141</v>
      </c>
      <c r="N2" s="53"/>
      <c r="T2" s="53"/>
    </row>
    <row r="3" spans="3:49" ht="16.5" thickBot="1" x14ac:dyDescent="0.3">
      <c r="N3" s="53"/>
      <c r="T3" s="53"/>
      <c r="AF3" s="252" t="s">
        <v>94</v>
      </c>
      <c r="AG3" s="275"/>
      <c r="AH3" s="275"/>
      <c r="AI3" s="275"/>
      <c r="AJ3" s="275"/>
      <c r="AK3" s="275"/>
      <c r="AL3" s="275"/>
      <c r="AM3" s="253"/>
      <c r="AP3" s="252" t="s">
        <v>109</v>
      </c>
      <c r="AQ3" s="275"/>
      <c r="AR3" s="275"/>
      <c r="AS3" s="275"/>
      <c r="AT3" s="275"/>
      <c r="AU3" s="275"/>
      <c r="AV3" s="275"/>
      <c r="AW3" s="253"/>
    </row>
    <row r="4" spans="3:49" ht="15.75" thickBot="1" x14ac:dyDescent="0.3">
      <c r="N4" s="53"/>
      <c r="O4" s="254" t="s">
        <v>147</v>
      </c>
      <c r="P4" s="254"/>
      <c r="Q4" s="254"/>
      <c r="R4" s="254"/>
      <c r="T4" s="53"/>
      <c r="AF4" s="50" t="s">
        <v>245</v>
      </c>
      <c r="AG4" s="51" t="s">
        <v>3</v>
      </c>
      <c r="AH4" s="51" t="s">
        <v>4</v>
      </c>
      <c r="AI4" s="51" t="s">
        <v>5</v>
      </c>
      <c r="AJ4" s="51" t="s">
        <v>6</v>
      </c>
      <c r="AK4" s="51" t="s">
        <v>7</v>
      </c>
      <c r="AL4" s="51" t="s">
        <v>8</v>
      </c>
      <c r="AM4" s="61" t="s">
        <v>87</v>
      </c>
      <c r="AP4" s="50" t="s">
        <v>264</v>
      </c>
      <c r="AQ4" s="51" t="s">
        <v>3</v>
      </c>
      <c r="AR4" s="51" t="s">
        <v>4</v>
      </c>
      <c r="AS4" s="51" t="s">
        <v>5</v>
      </c>
      <c r="AT4" s="51" t="s">
        <v>6</v>
      </c>
      <c r="AU4" s="51" t="s">
        <v>7</v>
      </c>
      <c r="AV4" s="51" t="s">
        <v>8</v>
      </c>
      <c r="AW4" s="61" t="s">
        <v>87</v>
      </c>
    </row>
    <row r="5" spans="3:49" x14ac:dyDescent="0.25">
      <c r="N5" s="53"/>
      <c r="P5" s="25"/>
      <c r="T5" s="53"/>
      <c r="AF5" s="4"/>
      <c r="AG5" s="5"/>
      <c r="AH5" s="5"/>
      <c r="AI5" s="5"/>
      <c r="AJ5" s="5"/>
      <c r="AK5" s="5"/>
      <c r="AL5" s="5"/>
      <c r="AM5" s="13"/>
      <c r="AP5" s="4"/>
      <c r="AQ5" s="5"/>
      <c r="AR5" s="5"/>
      <c r="AS5" s="5"/>
      <c r="AT5" s="5"/>
      <c r="AU5" s="5"/>
      <c r="AV5" s="5"/>
      <c r="AW5" s="13"/>
    </row>
    <row r="6" spans="3:49" x14ac:dyDescent="0.25">
      <c r="N6" s="53"/>
      <c r="O6" s="14"/>
      <c r="P6" s="161" t="s">
        <v>110</v>
      </c>
      <c r="Q6" s="161"/>
      <c r="R6" s="161"/>
      <c r="T6" s="53"/>
      <c r="U6" s="259" t="s">
        <v>85</v>
      </c>
      <c r="V6" s="260"/>
      <c r="W6" s="259" t="s">
        <v>86</v>
      </c>
      <c r="X6" s="260"/>
      <c r="Y6" s="259" t="s">
        <v>124</v>
      </c>
      <c r="Z6" s="260"/>
      <c r="AA6" s="247" t="s">
        <v>174</v>
      </c>
      <c r="AB6" s="259" t="s">
        <v>0</v>
      </c>
      <c r="AC6" s="261"/>
      <c r="AD6" s="260"/>
      <c r="AF6" s="7" t="s">
        <v>33</v>
      </c>
      <c r="AG6" s="8">
        <v>1</v>
      </c>
      <c r="AH6" s="8">
        <v>1</v>
      </c>
      <c r="AI6" s="8">
        <v>1</v>
      </c>
      <c r="AJ6" s="9">
        <v>1</v>
      </c>
      <c r="AK6" s="9">
        <v>1</v>
      </c>
      <c r="AL6" s="8">
        <v>1</v>
      </c>
      <c r="AM6" s="13">
        <v>1</v>
      </c>
      <c r="AP6" s="7" t="s">
        <v>33</v>
      </c>
      <c r="AQ6" s="8">
        <v>1</v>
      </c>
      <c r="AR6" s="8">
        <v>1</v>
      </c>
      <c r="AS6" s="8">
        <v>1</v>
      </c>
      <c r="AT6" s="9">
        <v>1</v>
      </c>
      <c r="AU6" s="9">
        <v>1</v>
      </c>
      <c r="AV6" s="8">
        <v>1</v>
      </c>
      <c r="AW6" s="13">
        <v>1</v>
      </c>
    </row>
    <row r="7" spans="3:49" x14ac:dyDescent="0.25">
      <c r="N7" s="53"/>
      <c r="O7" s="14"/>
      <c r="P7" s="45" t="s">
        <v>27</v>
      </c>
      <c r="Q7" s="46">
        <v>5.7</v>
      </c>
      <c r="R7" t="s">
        <v>102</v>
      </c>
      <c r="T7" s="53"/>
      <c r="U7" s="173" t="s">
        <v>27</v>
      </c>
      <c r="V7" s="174">
        <f>VLOOKUP(F14,AF6:AM55,2,FALSE)</f>
        <v>5.6</v>
      </c>
      <c r="W7" s="173" t="s">
        <v>27</v>
      </c>
      <c r="X7" s="175">
        <f>VLOOKUP(H14,AP6:AW55,2,FALSE)</f>
        <v>7.54</v>
      </c>
      <c r="Y7" s="188" t="str">
        <f>IF(Z7=1,"-","Redukce")</f>
        <v>Redukce</v>
      </c>
      <c r="Z7" s="189">
        <f>VLOOKUP(J15,AP61:AR74,2,FALSE)</f>
        <v>2.15</v>
      </c>
      <c r="AA7" s="173">
        <f>VLOOKUP(G20,AI88:AJ92,2,FALSE)</f>
        <v>1</v>
      </c>
      <c r="AB7" s="180"/>
      <c r="AC7" s="173" t="s">
        <v>129</v>
      </c>
      <c r="AD7" s="173" t="s">
        <v>64</v>
      </c>
      <c r="AF7" s="11" t="s">
        <v>25</v>
      </c>
      <c r="AG7" s="9">
        <f>Q7</f>
        <v>5.7</v>
      </c>
      <c r="AH7" s="9">
        <f>Q8</f>
        <v>4.5999999999999996</v>
      </c>
      <c r="AI7" s="9">
        <f>Q9</f>
        <v>3.1</v>
      </c>
      <c r="AJ7" s="9">
        <f>Q10</f>
        <v>1.9</v>
      </c>
      <c r="AK7" s="9">
        <f>Q11</f>
        <v>1.6</v>
      </c>
      <c r="AL7" s="9">
        <f>Q12</f>
        <v>5</v>
      </c>
      <c r="AM7" s="13">
        <f>Q13</f>
        <v>4.3099999999999996</v>
      </c>
      <c r="AP7" s="11" t="s">
        <v>25</v>
      </c>
      <c r="AQ7" s="9">
        <f>Q16</f>
        <v>6.1</v>
      </c>
      <c r="AR7" s="9">
        <f>Q17</f>
        <v>5.5</v>
      </c>
      <c r="AS7" s="9">
        <f>Q18</f>
        <v>4.2</v>
      </c>
      <c r="AT7" s="9">
        <f>Q19</f>
        <v>2.8</v>
      </c>
      <c r="AU7" s="9">
        <f>Q20</f>
        <v>1.2</v>
      </c>
      <c r="AV7" s="9">
        <f>Q21</f>
        <v>6</v>
      </c>
      <c r="AW7" s="13">
        <f>Q22</f>
        <v>5.77</v>
      </c>
    </row>
    <row r="8" spans="3:49" x14ac:dyDescent="0.25">
      <c r="H8" s="14"/>
      <c r="I8" s="14"/>
      <c r="N8" s="53"/>
      <c r="O8" s="14"/>
      <c r="P8" s="47" t="s">
        <v>28</v>
      </c>
      <c r="Q8" s="48">
        <v>4.5999999999999996</v>
      </c>
      <c r="R8" t="s">
        <v>102</v>
      </c>
      <c r="T8" s="53"/>
      <c r="U8" s="173" t="s">
        <v>28</v>
      </c>
      <c r="V8" s="174">
        <f>VLOOKUP(F14,AF6:AM55,3,FALSE)</f>
        <v>2.6</v>
      </c>
      <c r="W8" s="173" t="s">
        <v>28</v>
      </c>
      <c r="X8" s="174">
        <f>VLOOKUP(H14,AP6:AW55,3,FALSE)</f>
        <v>4.51</v>
      </c>
      <c r="Y8" s="188" t="str">
        <f>IF(Z7=1,"-","Silnice")</f>
        <v>Silnice</v>
      </c>
      <c r="Z8" s="189">
        <f>VLOOKUP(J15,AP61:AR74,3,FALSE)</f>
        <v>0.75</v>
      </c>
      <c r="AA8" s="180"/>
      <c r="AB8" s="180" t="s">
        <v>79</v>
      </c>
      <c r="AC8" s="173">
        <f>VLOOKUP(D11,AL60:AM75,2,FALSE)</f>
        <v>900</v>
      </c>
      <c r="AD8" s="173">
        <f>AC8/60</f>
        <v>15</v>
      </c>
      <c r="AF8" s="141" t="s">
        <v>39</v>
      </c>
      <c r="AG8" s="142">
        <v>4.79</v>
      </c>
      <c r="AH8" s="142">
        <v>2.68</v>
      </c>
      <c r="AI8" s="143">
        <v>1.6539999999999999</v>
      </c>
      <c r="AJ8" s="143">
        <v>1</v>
      </c>
      <c r="AK8" s="143">
        <v>99999</v>
      </c>
      <c r="AL8" s="142">
        <v>5.61</v>
      </c>
      <c r="AM8" s="127">
        <v>1</v>
      </c>
      <c r="AP8" s="141" t="s">
        <v>39</v>
      </c>
      <c r="AQ8" s="142">
        <v>4.79</v>
      </c>
      <c r="AR8" s="142">
        <v>2.68</v>
      </c>
      <c r="AS8" s="143">
        <v>1.6539999999999999</v>
      </c>
      <c r="AT8" s="143">
        <v>1</v>
      </c>
      <c r="AU8" s="143">
        <v>99999</v>
      </c>
      <c r="AV8" s="142">
        <v>5.61</v>
      </c>
      <c r="AW8" s="127">
        <v>1</v>
      </c>
    </row>
    <row r="9" spans="3:49" x14ac:dyDescent="0.25">
      <c r="D9" s="39" t="s">
        <v>68</v>
      </c>
      <c r="E9" s="27"/>
      <c r="H9" s="14"/>
      <c r="I9" s="14"/>
      <c r="N9" s="72" t="str">
        <f>IF(F14="Vlastní převodovka","Zde přepsat -&gt;","")</f>
        <v/>
      </c>
      <c r="O9" s="35"/>
      <c r="P9" s="47" t="s">
        <v>29</v>
      </c>
      <c r="Q9" s="48">
        <v>3.1</v>
      </c>
      <c r="R9" t="s">
        <v>102</v>
      </c>
      <c r="T9" s="53"/>
      <c r="U9" s="173" t="s">
        <v>29</v>
      </c>
      <c r="V9" s="174">
        <f>VLOOKUP(F14,AF6:AM55,4,FALSE)</f>
        <v>1.4</v>
      </c>
      <c r="W9" s="173" t="s">
        <v>29</v>
      </c>
      <c r="X9" s="174">
        <f>VLOOKUP(H14,AP6:AW55,4,FALSE)</f>
        <v>2.79</v>
      </c>
      <c r="Y9" s="179"/>
      <c r="Z9" s="179"/>
      <c r="AB9" s="180" t="s">
        <v>66</v>
      </c>
      <c r="AC9" s="173">
        <f>VLOOKUP(D12,AL75:AM155,2,FALSE)</f>
        <v>2600</v>
      </c>
      <c r="AD9" s="173">
        <f>AC9/60</f>
        <v>43.333333333333336</v>
      </c>
      <c r="AF9" s="125" t="s">
        <v>16</v>
      </c>
      <c r="AG9" s="138">
        <v>4.3760000000000003</v>
      </c>
      <c r="AH9" s="138">
        <v>2.4550000000000001</v>
      </c>
      <c r="AI9" s="138">
        <v>1.5144</v>
      </c>
      <c r="AJ9" s="137">
        <v>1</v>
      </c>
      <c r="AK9" s="137">
        <v>99999</v>
      </c>
      <c r="AL9" s="138">
        <v>3.66</v>
      </c>
      <c r="AM9" s="146">
        <v>1</v>
      </c>
      <c r="AP9" s="125" t="s">
        <v>16</v>
      </c>
      <c r="AQ9" s="138">
        <v>4.3760000000000003</v>
      </c>
      <c r="AR9" s="138">
        <v>2.4550000000000001</v>
      </c>
      <c r="AS9" s="138">
        <v>1.5144</v>
      </c>
      <c r="AT9" s="137">
        <v>1</v>
      </c>
      <c r="AU9" s="137">
        <v>99999</v>
      </c>
      <c r="AV9" s="138">
        <v>3.66</v>
      </c>
      <c r="AW9" s="146">
        <v>1</v>
      </c>
    </row>
    <row r="10" spans="3:49" x14ac:dyDescent="0.25">
      <c r="N10" s="73"/>
      <c r="O10" s="40"/>
      <c r="P10" s="47" t="s">
        <v>30</v>
      </c>
      <c r="Q10" s="48">
        <v>1.9</v>
      </c>
      <c r="R10" t="s">
        <v>102</v>
      </c>
      <c r="S10" s="40"/>
      <c r="T10" s="73"/>
      <c r="U10" s="173" t="str">
        <f>IF(V10=99999,"-","4°")</f>
        <v>4°</v>
      </c>
      <c r="V10" s="174">
        <f>VLOOKUP(F14,AF6:AM55,5,FALSE)</f>
        <v>1</v>
      </c>
      <c r="W10" s="173" t="str">
        <f>IF(X10=99999,"-","4°")</f>
        <v>4°</v>
      </c>
      <c r="X10" s="174">
        <f>VLOOKUP(H14,AP6:AW55,5,FALSE)</f>
        <v>1.81</v>
      </c>
      <c r="Y10" s="179"/>
      <c r="AB10" s="190"/>
      <c r="AC10" s="190"/>
      <c r="AD10" s="190"/>
      <c r="AF10" s="125" t="s">
        <v>17</v>
      </c>
      <c r="AG10" s="138">
        <v>4.92</v>
      </c>
      <c r="AH10" s="138">
        <v>2.6819999999999999</v>
      </c>
      <c r="AI10" s="138">
        <v>1.6539999999999999</v>
      </c>
      <c r="AJ10" s="137">
        <v>1</v>
      </c>
      <c r="AK10" s="137">
        <v>99999</v>
      </c>
      <c r="AL10" s="138">
        <v>5.08</v>
      </c>
      <c r="AM10" s="146">
        <v>1</v>
      </c>
      <c r="AP10" s="125" t="s">
        <v>17</v>
      </c>
      <c r="AQ10" s="138">
        <v>4.92</v>
      </c>
      <c r="AR10" s="138">
        <v>2.6819999999999999</v>
      </c>
      <c r="AS10" s="138">
        <v>1.6539999999999999</v>
      </c>
      <c r="AT10" s="137">
        <v>1</v>
      </c>
      <c r="AU10" s="137">
        <v>99999</v>
      </c>
      <c r="AV10" s="138">
        <v>5.08</v>
      </c>
      <c r="AW10" s="146">
        <v>1</v>
      </c>
    </row>
    <row r="11" spans="3:49" x14ac:dyDescent="0.25">
      <c r="C11" s="25" t="s">
        <v>69</v>
      </c>
      <c r="D11" s="38">
        <v>900</v>
      </c>
      <c r="E11" s="26" t="s">
        <v>26</v>
      </c>
      <c r="N11" s="74"/>
      <c r="O11" s="14"/>
      <c r="P11" s="47" t="s">
        <v>31</v>
      </c>
      <c r="Q11" s="48">
        <v>1.6</v>
      </c>
      <c r="R11" t="s">
        <v>102</v>
      </c>
      <c r="T11" s="53"/>
      <c r="U11" s="173" t="str">
        <f>IF(V11=99999,"-","5°")</f>
        <v>-</v>
      </c>
      <c r="V11" s="174">
        <f>VLOOKUP(F14,AF6:AM55,6,FALSE)</f>
        <v>99999</v>
      </c>
      <c r="W11" s="173" t="str">
        <f>IF(X11=99999,"-","5°")</f>
        <v>5°</v>
      </c>
      <c r="X11" s="174">
        <f>VLOOKUP(H14,AP6:AW55,6,FALSE)</f>
        <v>1.33</v>
      </c>
      <c r="Y11" s="179"/>
      <c r="AB11" s="190"/>
      <c r="AC11" s="190"/>
      <c r="AD11" s="190"/>
      <c r="AF11" s="141" t="s">
        <v>206</v>
      </c>
      <c r="AG11" s="142">
        <v>5.6</v>
      </c>
      <c r="AH11" s="142">
        <v>2.6</v>
      </c>
      <c r="AI11" s="143">
        <v>1.4</v>
      </c>
      <c r="AJ11" s="143">
        <v>1</v>
      </c>
      <c r="AK11" s="143">
        <v>99999</v>
      </c>
      <c r="AL11" s="142">
        <v>6.1</v>
      </c>
      <c r="AM11" s="127">
        <v>1</v>
      </c>
      <c r="AP11" s="141" t="s">
        <v>206</v>
      </c>
      <c r="AQ11" s="142">
        <v>5.6</v>
      </c>
      <c r="AR11" s="142">
        <v>2.6</v>
      </c>
      <c r="AS11" s="143">
        <v>1.4</v>
      </c>
      <c r="AT11" s="143">
        <v>1</v>
      </c>
      <c r="AU11" s="143">
        <v>99999</v>
      </c>
      <c r="AV11" s="142">
        <v>6.1</v>
      </c>
      <c r="AW11" s="127">
        <v>1</v>
      </c>
    </row>
    <row r="12" spans="3:49" x14ac:dyDescent="0.25">
      <c r="C12" s="25" t="s">
        <v>70</v>
      </c>
      <c r="D12" s="38">
        <v>2600</v>
      </c>
      <c r="E12" s="26" t="s">
        <v>26</v>
      </c>
      <c r="H12" s="27"/>
      <c r="I12" s="27"/>
      <c r="N12" s="74"/>
      <c r="O12" s="14"/>
      <c r="P12" s="47" t="s">
        <v>32</v>
      </c>
      <c r="Q12" s="48">
        <v>5</v>
      </c>
      <c r="R12" s="24" t="s">
        <v>102</v>
      </c>
      <c r="T12" s="53"/>
      <c r="U12" s="173" t="str">
        <f>IF(V12=99999,"-","R")</f>
        <v>R</v>
      </c>
      <c r="V12" s="174">
        <f>VLOOKUP(F14,AF6:AM55,7,FALSE)</f>
        <v>6.1</v>
      </c>
      <c r="W12" s="173" t="str">
        <f>IF(X12=99999,"-","R")</f>
        <v>R</v>
      </c>
      <c r="X12" s="174">
        <f>VLOOKUP(H14,AP6:AW55,7,FALSE)</f>
        <v>7.7</v>
      </c>
      <c r="Y12" s="179"/>
      <c r="AB12" s="190"/>
      <c r="AC12" s="190"/>
      <c r="AD12" s="190"/>
      <c r="AF12" s="141" t="s">
        <v>265</v>
      </c>
      <c r="AG12" s="142">
        <v>6.2679999999999998</v>
      </c>
      <c r="AH12" s="142">
        <v>3.4359999999999999</v>
      </c>
      <c r="AI12" s="143">
        <v>2.0150000000000001</v>
      </c>
      <c r="AJ12" s="143">
        <v>1.393</v>
      </c>
      <c r="AK12" s="143">
        <v>1</v>
      </c>
      <c r="AL12" s="142">
        <v>5.5709999999999997</v>
      </c>
      <c r="AM12" s="127">
        <v>1</v>
      </c>
      <c r="AP12" s="141" t="s">
        <v>265</v>
      </c>
      <c r="AQ12" s="142">
        <v>6.2679999999999998</v>
      </c>
      <c r="AR12" s="142">
        <v>3.4359999999999999</v>
      </c>
      <c r="AS12" s="143">
        <v>2.0150000000000001</v>
      </c>
      <c r="AT12" s="143">
        <v>1.393</v>
      </c>
      <c r="AU12" s="143">
        <v>1</v>
      </c>
      <c r="AV12" s="142">
        <v>5.5709999999999997</v>
      </c>
      <c r="AW12" s="127">
        <v>1</v>
      </c>
    </row>
    <row r="13" spans="3:49" x14ac:dyDescent="0.25">
      <c r="F13" s="267" t="s">
        <v>83</v>
      </c>
      <c r="G13" s="267"/>
      <c r="H13" s="258" t="s">
        <v>84</v>
      </c>
      <c r="I13" s="258"/>
      <c r="J13" s="239" t="s">
        <v>115</v>
      </c>
      <c r="N13" s="72" t="str">
        <f>IF(G15="Vlastní ","Zde přepsat -&gt;","")</f>
        <v/>
      </c>
      <c r="O13" s="14"/>
      <c r="P13" s="64" t="s">
        <v>112</v>
      </c>
      <c r="Q13" s="68">
        <v>4.3099999999999996</v>
      </c>
      <c r="R13" s="24" t="s">
        <v>102</v>
      </c>
      <c r="S13" s="65"/>
      <c r="T13" s="283"/>
      <c r="U13" s="176" t="s">
        <v>87</v>
      </c>
      <c r="V13" s="177">
        <f>VLOOKUP(G15,AF105:AG116,2,FALSE)</f>
        <v>1</v>
      </c>
      <c r="W13" s="176" t="s">
        <v>87</v>
      </c>
      <c r="X13" s="178">
        <f>VLOOKUP(I15,AF124:AG135,2,FALSE)</f>
        <v>1</v>
      </c>
      <c r="Y13" s="179"/>
      <c r="Z13" s="179"/>
      <c r="AF13" s="141" t="s">
        <v>207</v>
      </c>
      <c r="AG13" s="142">
        <v>5.4</v>
      </c>
      <c r="AH13" s="142">
        <v>3.1</v>
      </c>
      <c r="AI13" s="143">
        <v>2</v>
      </c>
      <c r="AJ13" s="143">
        <v>1.4</v>
      </c>
      <c r="AK13" s="143">
        <v>1</v>
      </c>
      <c r="AL13" s="142">
        <v>4.8</v>
      </c>
      <c r="AM13" s="127">
        <v>1</v>
      </c>
      <c r="AP13" s="141" t="s">
        <v>207</v>
      </c>
      <c r="AQ13" s="142">
        <v>5.4</v>
      </c>
      <c r="AR13" s="142">
        <v>3.1</v>
      </c>
      <c r="AS13" s="143">
        <v>2</v>
      </c>
      <c r="AT13" s="143">
        <v>1.4</v>
      </c>
      <c r="AU13" s="143">
        <v>1</v>
      </c>
      <c r="AV13" s="142">
        <v>4.8</v>
      </c>
      <c r="AW13" s="127">
        <v>1</v>
      </c>
    </row>
    <row r="14" spans="3:49" x14ac:dyDescent="0.25">
      <c r="F14" s="255" t="s">
        <v>206</v>
      </c>
      <c r="G14" s="257"/>
      <c r="H14" s="255" t="s">
        <v>219</v>
      </c>
      <c r="I14" s="257"/>
      <c r="J14" s="22" t="s">
        <v>116</v>
      </c>
      <c r="K14" s="238" t="s">
        <v>73</v>
      </c>
      <c r="N14" s="74"/>
      <c r="T14" s="53"/>
      <c r="U14" s="179"/>
      <c r="V14" s="179">
        <f>VLOOKUP(J28,U7:V12,2,FALSE)</f>
        <v>2.6</v>
      </c>
      <c r="W14" s="179"/>
      <c r="X14" s="179">
        <f>VLOOKUP(K28,W7:X12,2,FALSE)</f>
        <v>2.79</v>
      </c>
      <c r="Y14" s="179"/>
      <c r="Z14" s="179">
        <f>VLOOKUP(L28,Y7:Z8,2,FALSE)</f>
        <v>0.75</v>
      </c>
      <c r="AF14" s="141" t="s">
        <v>208</v>
      </c>
      <c r="AG14" s="142">
        <v>6.27</v>
      </c>
      <c r="AH14" s="142">
        <v>3.44</v>
      </c>
      <c r="AI14" s="143">
        <v>2.2000000000000002</v>
      </c>
      <c r="AJ14" s="143">
        <v>1.39</v>
      </c>
      <c r="AK14" s="143">
        <v>1</v>
      </c>
      <c r="AL14" s="142">
        <v>5.57</v>
      </c>
      <c r="AM14" s="127">
        <v>1</v>
      </c>
      <c r="AP14" s="141" t="s">
        <v>208</v>
      </c>
      <c r="AQ14" s="142">
        <v>6.27</v>
      </c>
      <c r="AR14" s="142">
        <v>3.44</v>
      </c>
      <c r="AS14" s="143">
        <v>2.2000000000000002</v>
      </c>
      <c r="AT14" s="143">
        <v>1.39</v>
      </c>
      <c r="AU14" s="143">
        <v>1</v>
      </c>
      <c r="AV14" s="142">
        <v>5.57</v>
      </c>
      <c r="AW14" s="127">
        <v>1</v>
      </c>
    </row>
    <row r="15" spans="3:49" x14ac:dyDescent="0.25">
      <c r="F15" s="238" t="s">
        <v>244</v>
      </c>
      <c r="G15" s="197" t="s">
        <v>246</v>
      </c>
      <c r="H15" s="238" t="s">
        <v>244</v>
      </c>
      <c r="I15" s="200" t="s">
        <v>246</v>
      </c>
      <c r="J15" s="237" t="s">
        <v>10</v>
      </c>
      <c r="K15" s="31" t="s">
        <v>10</v>
      </c>
      <c r="N15" s="74"/>
      <c r="O15" s="14"/>
      <c r="P15" s="161" t="s">
        <v>111</v>
      </c>
      <c r="Q15" s="161"/>
      <c r="R15" s="161"/>
      <c r="T15" s="53"/>
      <c r="AF15" s="141" t="s">
        <v>209</v>
      </c>
      <c r="AG15" s="142">
        <v>1.7142900000000001</v>
      </c>
      <c r="AH15" s="142">
        <v>1.35714</v>
      </c>
      <c r="AI15" s="143">
        <v>1.14286</v>
      </c>
      <c r="AJ15" s="143">
        <v>1</v>
      </c>
      <c r="AK15" s="143">
        <v>99999</v>
      </c>
      <c r="AL15" s="142">
        <v>99999</v>
      </c>
      <c r="AM15" s="127">
        <v>1</v>
      </c>
      <c r="AP15" s="141" t="s">
        <v>209</v>
      </c>
      <c r="AQ15" s="142">
        <v>1.7142900000000001</v>
      </c>
      <c r="AR15" s="142">
        <v>1.35714</v>
      </c>
      <c r="AS15" s="143">
        <v>1.14286</v>
      </c>
      <c r="AT15" s="143">
        <v>1</v>
      </c>
      <c r="AU15" s="143">
        <v>99999</v>
      </c>
      <c r="AV15" s="142">
        <v>99999</v>
      </c>
      <c r="AW15" s="127">
        <v>1</v>
      </c>
    </row>
    <row r="16" spans="3:49" x14ac:dyDescent="0.25">
      <c r="K16" s="29">
        <f>VLOOKUP(K15,AF61:AG99,2,FALSE)</f>
        <v>8.3460000000000001</v>
      </c>
      <c r="N16" s="74"/>
      <c r="O16" s="14"/>
      <c r="P16" s="45" t="s">
        <v>27</v>
      </c>
      <c r="Q16" s="46">
        <v>6.1</v>
      </c>
      <c r="R16" t="s">
        <v>102</v>
      </c>
      <c r="T16" s="53"/>
      <c r="AF16" s="141" t="s">
        <v>209</v>
      </c>
      <c r="AG16" s="142">
        <v>3.42</v>
      </c>
      <c r="AH16" s="142">
        <v>1.84</v>
      </c>
      <c r="AI16" s="143">
        <v>1.25</v>
      </c>
      <c r="AJ16" s="143">
        <v>1</v>
      </c>
      <c r="AK16" s="143">
        <v>99999</v>
      </c>
      <c r="AL16" s="142">
        <v>99999</v>
      </c>
      <c r="AM16" s="127">
        <v>1</v>
      </c>
      <c r="AP16" s="141" t="s">
        <v>209</v>
      </c>
      <c r="AQ16" s="142">
        <v>3.42</v>
      </c>
      <c r="AR16" s="142">
        <v>1.84</v>
      </c>
      <c r="AS16" s="143">
        <v>1.25</v>
      </c>
      <c r="AT16" s="143">
        <v>1</v>
      </c>
      <c r="AU16" s="143">
        <v>99999</v>
      </c>
      <c r="AV16" s="142">
        <v>99999</v>
      </c>
      <c r="AW16" s="127">
        <v>1</v>
      </c>
    </row>
    <row r="17" spans="4:49" x14ac:dyDescent="0.25">
      <c r="N17" s="74"/>
      <c r="O17" s="14"/>
      <c r="P17" s="47" t="s">
        <v>28</v>
      </c>
      <c r="Q17" s="48">
        <v>5.5</v>
      </c>
      <c r="R17" t="s">
        <v>102</v>
      </c>
      <c r="T17" s="53"/>
      <c r="AF17" s="141" t="s">
        <v>210</v>
      </c>
      <c r="AG17" s="142">
        <v>5.95</v>
      </c>
      <c r="AH17" s="142">
        <v>3.7</v>
      </c>
      <c r="AI17" s="143">
        <v>1.78</v>
      </c>
      <c r="AJ17" s="143">
        <v>1</v>
      </c>
      <c r="AK17" s="143">
        <v>99999</v>
      </c>
      <c r="AL17" s="142">
        <v>5.59</v>
      </c>
      <c r="AM17" s="127">
        <v>1</v>
      </c>
      <c r="AP17" s="141" t="s">
        <v>210</v>
      </c>
      <c r="AQ17" s="142">
        <v>5.95</v>
      </c>
      <c r="AR17" s="142">
        <v>3.7</v>
      </c>
      <c r="AS17" s="143">
        <v>1.78</v>
      </c>
      <c r="AT17" s="143">
        <v>1</v>
      </c>
      <c r="AU17" s="143">
        <v>99999</v>
      </c>
      <c r="AV17" s="142">
        <v>5.59</v>
      </c>
      <c r="AW17" s="127">
        <v>1</v>
      </c>
    </row>
    <row r="18" spans="4:49" x14ac:dyDescent="0.25">
      <c r="N18" s="72" t="str">
        <f>IF(H14="Vlastní převodovka","Zde přepsat -&gt;","")</f>
        <v/>
      </c>
      <c r="O18" s="159"/>
      <c r="P18" s="47" t="s">
        <v>29</v>
      </c>
      <c r="Q18" s="48">
        <v>4.2</v>
      </c>
      <c r="R18" t="s">
        <v>102</v>
      </c>
      <c r="T18" s="53"/>
      <c r="AF18" s="141" t="s">
        <v>211</v>
      </c>
      <c r="AG18" s="142">
        <v>3.25</v>
      </c>
      <c r="AH18" s="142">
        <v>2.0670000000000002</v>
      </c>
      <c r="AI18" s="143">
        <v>1.3</v>
      </c>
      <c r="AJ18" s="143">
        <v>0.872</v>
      </c>
      <c r="AK18" s="143">
        <v>99999</v>
      </c>
      <c r="AL18" s="142">
        <v>4.024</v>
      </c>
      <c r="AM18" s="127">
        <v>1</v>
      </c>
      <c r="AP18" s="141" t="s">
        <v>211</v>
      </c>
      <c r="AQ18" s="142">
        <v>3.25</v>
      </c>
      <c r="AR18" s="142">
        <v>2.0670000000000002</v>
      </c>
      <c r="AS18" s="143">
        <v>1.3</v>
      </c>
      <c r="AT18" s="143">
        <v>0.872</v>
      </c>
      <c r="AU18" s="143">
        <v>99999</v>
      </c>
      <c r="AV18" s="142">
        <v>4.024</v>
      </c>
      <c r="AW18" s="127">
        <v>1</v>
      </c>
    </row>
    <row r="19" spans="4:49" x14ac:dyDescent="0.25">
      <c r="G19" s="239" t="s">
        <v>272</v>
      </c>
      <c r="N19" s="73"/>
      <c r="O19" s="40"/>
      <c r="P19" s="47" t="s">
        <v>30</v>
      </c>
      <c r="Q19" s="48">
        <v>2.8</v>
      </c>
      <c r="R19" t="s">
        <v>102</v>
      </c>
      <c r="T19" s="53"/>
      <c r="AF19" s="125" t="s">
        <v>22</v>
      </c>
      <c r="AG19" s="138">
        <v>3.36</v>
      </c>
      <c r="AH19" s="137">
        <v>1.81</v>
      </c>
      <c r="AI19" s="138">
        <v>1.26</v>
      </c>
      <c r="AJ19" s="137">
        <v>1</v>
      </c>
      <c r="AK19" s="137">
        <v>0.82</v>
      </c>
      <c r="AL19" s="138">
        <v>3.5</v>
      </c>
      <c r="AM19" s="146">
        <v>1</v>
      </c>
      <c r="AP19" s="125" t="s">
        <v>22</v>
      </c>
      <c r="AQ19" s="138">
        <v>3.36</v>
      </c>
      <c r="AR19" s="137">
        <v>1.81</v>
      </c>
      <c r="AS19" s="138">
        <v>1.26</v>
      </c>
      <c r="AT19" s="137">
        <v>1</v>
      </c>
      <c r="AU19" s="137">
        <v>0.82</v>
      </c>
      <c r="AV19" s="138">
        <v>3.5</v>
      </c>
      <c r="AW19" s="146">
        <v>1</v>
      </c>
    </row>
    <row r="20" spans="4:49" x14ac:dyDescent="0.25">
      <c r="G20" s="237" t="s">
        <v>273</v>
      </c>
      <c r="K20" s="35" t="s">
        <v>74</v>
      </c>
      <c r="L20" s="35"/>
      <c r="M20" s="71"/>
      <c r="N20" s="74"/>
      <c r="O20" s="14"/>
      <c r="P20" s="47" t="s">
        <v>31</v>
      </c>
      <c r="Q20" s="48">
        <v>1.2</v>
      </c>
      <c r="R20" t="s">
        <v>102</v>
      </c>
      <c r="T20" s="53"/>
      <c r="AF20" s="141" t="s">
        <v>212</v>
      </c>
      <c r="AG20" s="142">
        <v>3.65</v>
      </c>
      <c r="AH20" s="142">
        <v>1.97</v>
      </c>
      <c r="AI20" s="143">
        <v>1.37</v>
      </c>
      <c r="AJ20" s="143">
        <v>1</v>
      </c>
      <c r="AK20" s="143">
        <v>99999</v>
      </c>
      <c r="AL20" s="142">
        <v>3.36</v>
      </c>
      <c r="AM20" s="127">
        <v>1</v>
      </c>
      <c r="AP20" s="141" t="s">
        <v>212</v>
      </c>
      <c r="AQ20" s="142">
        <v>3.65</v>
      </c>
      <c r="AR20" s="142">
        <v>1.97</v>
      </c>
      <c r="AS20" s="143">
        <v>1.37</v>
      </c>
      <c r="AT20" s="143">
        <v>1</v>
      </c>
      <c r="AU20" s="143">
        <v>99999</v>
      </c>
      <c r="AV20" s="142">
        <v>3.36</v>
      </c>
      <c r="AW20" s="127">
        <v>1</v>
      </c>
    </row>
    <row r="21" spans="4:49" x14ac:dyDescent="0.25">
      <c r="K21" s="237" t="s">
        <v>239</v>
      </c>
      <c r="N21" s="74"/>
      <c r="O21" s="14"/>
      <c r="P21" s="47" t="s">
        <v>32</v>
      </c>
      <c r="Q21" s="48">
        <v>6</v>
      </c>
      <c r="R21" s="24" t="s">
        <v>102</v>
      </c>
      <c r="T21" s="53"/>
      <c r="AF21" s="145" t="s">
        <v>9</v>
      </c>
      <c r="AG21" s="138">
        <v>3.1150000000000002</v>
      </c>
      <c r="AH21" s="138">
        <v>1.772</v>
      </c>
      <c r="AI21" s="138">
        <v>1</v>
      </c>
      <c r="AJ21" s="137">
        <v>99999</v>
      </c>
      <c r="AK21" s="137">
        <v>99999</v>
      </c>
      <c r="AL21" s="138">
        <v>3.78</v>
      </c>
      <c r="AM21" s="146">
        <v>1</v>
      </c>
      <c r="AP21" s="145" t="s">
        <v>9</v>
      </c>
      <c r="AQ21" s="138">
        <v>3.1150000000000002</v>
      </c>
      <c r="AR21" s="138">
        <v>1.772</v>
      </c>
      <c r="AS21" s="138">
        <v>1</v>
      </c>
      <c r="AT21" s="137">
        <v>99999</v>
      </c>
      <c r="AU21" s="137">
        <v>99999</v>
      </c>
      <c r="AV21" s="138">
        <v>3.78</v>
      </c>
      <c r="AW21" s="146">
        <v>1</v>
      </c>
    </row>
    <row r="22" spans="4:49" x14ac:dyDescent="0.25">
      <c r="K22" s="227">
        <f>VLOOKUP(K21,AI61:AJ84,2,FALSE)</f>
        <v>3.33</v>
      </c>
      <c r="N22" s="72" t="str">
        <f>IF(I15="Vlastní ","Zde přepsat -&gt;","")</f>
        <v/>
      </c>
      <c r="P22" s="64" t="s">
        <v>112</v>
      </c>
      <c r="Q22" s="68">
        <v>5.77</v>
      </c>
      <c r="R22" s="24" t="s">
        <v>102</v>
      </c>
      <c r="S22" s="65"/>
      <c r="T22" s="283"/>
      <c r="AF22" s="141" t="s">
        <v>213</v>
      </c>
      <c r="AG22" s="142">
        <v>8.6199999999999992</v>
      </c>
      <c r="AH22" s="142">
        <v>4.5599999999999996</v>
      </c>
      <c r="AI22" s="142">
        <v>2.62</v>
      </c>
      <c r="AJ22" s="142">
        <v>1.59</v>
      </c>
      <c r="AK22" s="142">
        <v>1</v>
      </c>
      <c r="AL22" s="142">
        <v>6.38</v>
      </c>
      <c r="AM22" s="127">
        <v>1</v>
      </c>
      <c r="AP22" s="141" t="s">
        <v>213</v>
      </c>
      <c r="AQ22" s="142">
        <v>8.6199999999999992</v>
      </c>
      <c r="AR22" s="142">
        <v>4.5599999999999996</v>
      </c>
      <c r="AS22" s="142">
        <v>2.62</v>
      </c>
      <c r="AT22" s="142">
        <v>1.59</v>
      </c>
      <c r="AU22" s="142">
        <v>1</v>
      </c>
      <c r="AV22" s="142">
        <v>6.38</v>
      </c>
      <c r="AW22" s="127">
        <v>1</v>
      </c>
    </row>
    <row r="23" spans="4:49" x14ac:dyDescent="0.25">
      <c r="J23" s="35"/>
      <c r="N23" s="74"/>
      <c r="T23" s="53"/>
      <c r="AF23" s="125" t="s">
        <v>24</v>
      </c>
      <c r="AG23" s="139">
        <v>15.667999999999999</v>
      </c>
      <c r="AH23" s="139">
        <v>8.7590000000000003</v>
      </c>
      <c r="AI23" s="139">
        <v>6.2649999999999997</v>
      </c>
      <c r="AJ23" s="139">
        <v>4.9279999999999999</v>
      </c>
      <c r="AK23" s="137">
        <v>99999</v>
      </c>
      <c r="AL23" s="137">
        <v>99999</v>
      </c>
      <c r="AM23" s="146">
        <v>1</v>
      </c>
      <c r="AP23" s="125" t="s">
        <v>24</v>
      </c>
      <c r="AQ23" s="139">
        <v>15.667999999999999</v>
      </c>
      <c r="AR23" s="139">
        <v>8.7590000000000003</v>
      </c>
      <c r="AS23" s="139">
        <v>6.2649999999999997</v>
      </c>
      <c r="AT23" s="139">
        <v>4.9279999999999999</v>
      </c>
      <c r="AU23" s="137">
        <v>99999</v>
      </c>
      <c r="AV23" s="137">
        <v>99999</v>
      </c>
      <c r="AW23" s="146">
        <v>1</v>
      </c>
    </row>
    <row r="24" spans="4:49" x14ac:dyDescent="0.25">
      <c r="J24" s="14"/>
      <c r="N24" s="74"/>
      <c r="P24" s="161" t="s">
        <v>126</v>
      </c>
      <c r="Q24" s="161"/>
      <c r="R24" s="161"/>
      <c r="T24" s="53"/>
      <c r="AF24" s="125" t="s">
        <v>13</v>
      </c>
      <c r="AG24" s="138">
        <v>3.92</v>
      </c>
      <c r="AH24" s="138">
        <v>2.2599999999999998</v>
      </c>
      <c r="AI24" s="138">
        <v>1.44</v>
      </c>
      <c r="AJ24" s="138">
        <v>0.97</v>
      </c>
      <c r="AK24" s="137">
        <v>99999</v>
      </c>
      <c r="AL24" s="138">
        <v>3.63</v>
      </c>
      <c r="AM24" s="146">
        <v>1</v>
      </c>
      <c r="AP24" s="125" t="s">
        <v>13</v>
      </c>
      <c r="AQ24" s="138">
        <v>3.92</v>
      </c>
      <c r="AR24" s="138">
        <v>2.2599999999999998</v>
      </c>
      <c r="AS24" s="138">
        <v>1.44</v>
      </c>
      <c r="AT24" s="138">
        <v>0.97</v>
      </c>
      <c r="AU24" s="137">
        <v>99999</v>
      </c>
      <c r="AV24" s="138">
        <v>3.63</v>
      </c>
      <c r="AW24" s="146">
        <v>1</v>
      </c>
    </row>
    <row r="25" spans="4:49" x14ac:dyDescent="0.25">
      <c r="N25" s="72" t="str">
        <f>IF(J15="Vlastní převodovka","Zde přepsat -&gt;","")</f>
        <v/>
      </c>
      <c r="P25" s="45" t="s">
        <v>127</v>
      </c>
      <c r="Q25" s="46">
        <v>2.2000000000000002</v>
      </c>
      <c r="R25" t="s">
        <v>102</v>
      </c>
      <c r="T25" s="53"/>
      <c r="AF25" s="141" t="s">
        <v>214</v>
      </c>
      <c r="AG25" s="142">
        <v>6.157</v>
      </c>
      <c r="AH25" s="142">
        <v>3.1480000000000001</v>
      </c>
      <c r="AI25" s="143">
        <v>1.7430000000000001</v>
      </c>
      <c r="AJ25" s="143">
        <v>1.278</v>
      </c>
      <c r="AK25" s="143">
        <v>1</v>
      </c>
      <c r="AL25" s="142">
        <v>99999</v>
      </c>
      <c r="AM25" s="127">
        <v>1</v>
      </c>
      <c r="AP25" s="141" t="s">
        <v>214</v>
      </c>
      <c r="AQ25" s="142">
        <v>6.157</v>
      </c>
      <c r="AR25" s="142">
        <v>3.1480000000000001</v>
      </c>
      <c r="AS25" s="143">
        <v>1.7430000000000001</v>
      </c>
      <c r="AT25" s="143">
        <v>1.278</v>
      </c>
      <c r="AU25" s="143">
        <v>1</v>
      </c>
      <c r="AV25" s="142">
        <v>99999</v>
      </c>
      <c r="AW25" s="127">
        <v>1</v>
      </c>
    </row>
    <row r="26" spans="4:49" ht="15.75" thickBot="1" x14ac:dyDescent="0.3">
      <c r="D26" s="254" t="s">
        <v>145</v>
      </c>
      <c r="E26" s="254"/>
      <c r="F26" s="254"/>
      <c r="G26" s="254"/>
      <c r="J26" s="254" t="s">
        <v>144</v>
      </c>
      <c r="K26" s="254"/>
      <c r="L26" s="254"/>
      <c r="M26" s="83"/>
      <c r="N26" s="74"/>
      <c r="P26" s="47" t="s">
        <v>128</v>
      </c>
      <c r="Q26" s="48">
        <v>1</v>
      </c>
      <c r="R26" t="s">
        <v>102</v>
      </c>
      <c r="T26" s="53"/>
      <c r="AF26" s="141" t="s">
        <v>215</v>
      </c>
      <c r="AG26" s="142">
        <v>6.71</v>
      </c>
      <c r="AH26" s="142">
        <v>3.242</v>
      </c>
      <c r="AI26" s="143">
        <v>2.1920000000000002</v>
      </c>
      <c r="AJ26" s="143">
        <v>1.4670000000000001</v>
      </c>
      <c r="AK26" s="143">
        <v>1</v>
      </c>
      <c r="AL26" s="142">
        <v>5.6349999999999998</v>
      </c>
      <c r="AM26" s="127">
        <v>1</v>
      </c>
      <c r="AP26" s="141" t="s">
        <v>215</v>
      </c>
      <c r="AQ26" s="142">
        <v>6.71</v>
      </c>
      <c r="AR26" s="142">
        <v>3.242</v>
      </c>
      <c r="AS26" s="143">
        <v>2.1920000000000002</v>
      </c>
      <c r="AT26" s="143">
        <v>1.4670000000000001</v>
      </c>
      <c r="AU26" s="143">
        <v>1</v>
      </c>
      <c r="AV26" s="142">
        <v>5.6349999999999998</v>
      </c>
      <c r="AW26" s="127">
        <v>1</v>
      </c>
    </row>
    <row r="27" spans="4:49" x14ac:dyDescent="0.25">
      <c r="J27" s="100" t="s">
        <v>103</v>
      </c>
      <c r="K27" s="100" t="s">
        <v>125</v>
      </c>
      <c r="L27" s="100" t="s">
        <v>137</v>
      </c>
      <c r="M27" s="83"/>
      <c r="N27" s="74"/>
      <c r="T27" s="53"/>
      <c r="AF27" s="141" t="s">
        <v>200</v>
      </c>
      <c r="AG27" s="142">
        <v>3.9</v>
      </c>
      <c r="AH27" s="142">
        <v>2.2999999999999998</v>
      </c>
      <c r="AI27" s="143">
        <v>1.41</v>
      </c>
      <c r="AJ27" s="143">
        <v>1</v>
      </c>
      <c r="AK27" s="143">
        <v>99999</v>
      </c>
      <c r="AL27" s="142">
        <v>3.66</v>
      </c>
      <c r="AM27" s="127">
        <v>1</v>
      </c>
      <c r="AP27" s="141" t="s">
        <v>200</v>
      </c>
      <c r="AQ27" s="142">
        <v>3.9</v>
      </c>
      <c r="AR27" s="142">
        <v>2.2999999999999998</v>
      </c>
      <c r="AS27" s="143">
        <v>1.41</v>
      </c>
      <c r="AT27" s="143">
        <v>1</v>
      </c>
      <c r="AU27" s="143">
        <v>99999</v>
      </c>
      <c r="AV27" s="142">
        <v>3.66</v>
      </c>
      <c r="AW27" s="127">
        <v>1</v>
      </c>
    </row>
    <row r="28" spans="4:49" ht="15.75" x14ac:dyDescent="0.25">
      <c r="D28" s="103" t="s">
        <v>149</v>
      </c>
      <c r="E28" s="82"/>
      <c r="F28" s="92">
        <f>C60</f>
        <v>0.23733480545122235</v>
      </c>
      <c r="G28" s="82" t="s">
        <v>65</v>
      </c>
      <c r="J28" s="84" t="s">
        <v>28</v>
      </c>
      <c r="K28" s="84" t="s">
        <v>29</v>
      </c>
      <c r="L28" s="237" t="s">
        <v>128</v>
      </c>
      <c r="M28" s="83"/>
      <c r="N28" s="74"/>
      <c r="O28" s="14"/>
      <c r="P28" s="163" t="s">
        <v>89</v>
      </c>
      <c r="Q28" s="163"/>
      <c r="R28" s="163"/>
      <c r="S28" s="110"/>
      <c r="T28" s="284"/>
      <c r="U28" s="110"/>
      <c r="AF28" s="141" t="s">
        <v>216</v>
      </c>
      <c r="AG28" s="142">
        <v>6</v>
      </c>
      <c r="AH28" s="142">
        <v>3.25</v>
      </c>
      <c r="AI28" s="143">
        <v>1.75</v>
      </c>
      <c r="AJ28" s="143">
        <v>1.25</v>
      </c>
      <c r="AK28" s="143">
        <v>1</v>
      </c>
      <c r="AL28" s="142">
        <v>5</v>
      </c>
      <c r="AM28" s="127">
        <v>1</v>
      </c>
      <c r="AP28" s="141" t="s">
        <v>216</v>
      </c>
      <c r="AQ28" s="142">
        <v>6</v>
      </c>
      <c r="AR28" s="142">
        <v>3.25</v>
      </c>
      <c r="AS28" s="143">
        <v>1.75</v>
      </c>
      <c r="AT28" s="143">
        <v>1.25</v>
      </c>
      <c r="AU28" s="143">
        <v>1</v>
      </c>
      <c r="AV28" s="142">
        <v>5</v>
      </c>
      <c r="AW28" s="127">
        <v>1</v>
      </c>
    </row>
    <row r="29" spans="4:49" ht="15.75" x14ac:dyDescent="0.25">
      <c r="D29" s="103" t="s">
        <v>150</v>
      </c>
      <c r="E29" s="82"/>
      <c r="F29" s="92">
        <f>MAX(C90:G94)</f>
        <v>62.398938205326417</v>
      </c>
      <c r="G29" s="82" t="s">
        <v>65</v>
      </c>
      <c r="M29" s="83"/>
      <c r="N29" s="72" t="str">
        <f>IF(K15="Vlastní převod","Zde přepsat -&gt;","")</f>
        <v/>
      </c>
      <c r="O29" s="159"/>
      <c r="P29" t="s">
        <v>87</v>
      </c>
      <c r="Q29" s="160">
        <v>14.2</v>
      </c>
      <c r="R29" t="s">
        <v>102</v>
      </c>
      <c r="T29" s="53"/>
      <c r="AF29" s="141" t="s">
        <v>217</v>
      </c>
      <c r="AG29" s="142">
        <v>3.92</v>
      </c>
      <c r="AH29" s="142">
        <v>2.2599999999999998</v>
      </c>
      <c r="AI29" s="143">
        <v>1.44</v>
      </c>
      <c r="AJ29" s="143">
        <v>0.96</v>
      </c>
      <c r="AK29" s="143">
        <v>99999</v>
      </c>
      <c r="AL29" s="142">
        <v>99999</v>
      </c>
      <c r="AM29" s="127">
        <v>1</v>
      </c>
      <c r="AP29" s="141" t="s">
        <v>217</v>
      </c>
      <c r="AQ29" s="142">
        <v>3.92</v>
      </c>
      <c r="AR29" s="142">
        <v>2.2599999999999998</v>
      </c>
      <c r="AS29" s="143">
        <v>1.44</v>
      </c>
      <c r="AT29" s="143">
        <v>0.96</v>
      </c>
      <c r="AU29" s="143">
        <v>99999</v>
      </c>
      <c r="AV29" s="142">
        <v>99999</v>
      </c>
      <c r="AW29" s="127">
        <v>1</v>
      </c>
    </row>
    <row r="30" spans="4:49" ht="15.75" x14ac:dyDescent="0.25">
      <c r="D30" s="98" t="s">
        <v>104</v>
      </c>
      <c r="E30" s="98"/>
      <c r="F30" s="99">
        <f>H65</f>
        <v>0.21335373270965319</v>
      </c>
      <c r="G30" s="98" t="s">
        <v>65</v>
      </c>
      <c r="J30" s="95" t="s">
        <v>151</v>
      </c>
      <c r="K30" s="96">
        <f>IF(K32=0,"-",(AD8/K32)*K22*3.599999712)</f>
        <v>3.9602332299272347</v>
      </c>
      <c r="L30" s="210" t="s">
        <v>65</v>
      </c>
      <c r="M30" s="83"/>
      <c r="N30" s="74"/>
      <c r="O30" s="14"/>
      <c r="T30" s="53"/>
      <c r="V30" s="63"/>
      <c r="AF30" s="125" t="s">
        <v>23</v>
      </c>
      <c r="AG30" s="139">
        <v>3.1150000000000002</v>
      </c>
      <c r="AH30" s="139">
        <v>1.772</v>
      </c>
      <c r="AI30" s="139">
        <v>1</v>
      </c>
      <c r="AJ30" s="137">
        <v>99999</v>
      </c>
      <c r="AK30" s="137">
        <v>99999</v>
      </c>
      <c r="AL30" s="139">
        <v>3.738</v>
      </c>
      <c r="AM30" s="146">
        <v>1</v>
      </c>
      <c r="AP30" s="125" t="s">
        <v>23</v>
      </c>
      <c r="AQ30" s="139">
        <v>3.1150000000000002</v>
      </c>
      <c r="AR30" s="139">
        <v>1.772</v>
      </c>
      <c r="AS30" s="139">
        <v>1</v>
      </c>
      <c r="AT30" s="137">
        <v>99999</v>
      </c>
      <c r="AU30" s="137">
        <v>99999</v>
      </c>
      <c r="AV30" s="139">
        <v>3.738</v>
      </c>
      <c r="AW30" s="146">
        <v>1</v>
      </c>
    </row>
    <row r="31" spans="4:49" ht="15.75" x14ac:dyDescent="0.25">
      <c r="J31" s="95" t="s">
        <v>152</v>
      </c>
      <c r="K31" s="96">
        <f>IF(K32=0,"-",(AD9/K32)*K22*3.599999712)</f>
        <v>11.440673775345347</v>
      </c>
      <c r="L31" s="211" t="s">
        <v>65</v>
      </c>
      <c r="M31" s="83"/>
      <c r="N31" s="75"/>
      <c r="O31" s="14"/>
      <c r="P31" s="49" t="s">
        <v>91</v>
      </c>
      <c r="Q31" s="49"/>
      <c r="R31" s="49"/>
      <c r="T31" s="53"/>
      <c r="AF31" s="141" t="s">
        <v>218</v>
      </c>
      <c r="AG31" s="142">
        <v>6.27</v>
      </c>
      <c r="AH31" s="142">
        <v>3.44</v>
      </c>
      <c r="AI31" s="143">
        <v>2.2000000000000002</v>
      </c>
      <c r="AJ31" s="143">
        <v>1.39</v>
      </c>
      <c r="AK31" s="143">
        <v>1</v>
      </c>
      <c r="AL31" s="142">
        <v>5.57</v>
      </c>
      <c r="AM31" s="127">
        <v>1</v>
      </c>
      <c r="AP31" s="141" t="s">
        <v>218</v>
      </c>
      <c r="AQ31" s="142">
        <v>6.27</v>
      </c>
      <c r="AR31" s="142">
        <v>3.44</v>
      </c>
      <c r="AS31" s="143">
        <v>2.2000000000000002</v>
      </c>
      <c r="AT31" s="143">
        <v>1.39</v>
      </c>
      <c r="AU31" s="143">
        <v>1</v>
      </c>
      <c r="AV31" s="142">
        <v>5.57</v>
      </c>
      <c r="AW31" s="127">
        <v>1</v>
      </c>
    </row>
    <row r="32" spans="4:49" x14ac:dyDescent="0.25">
      <c r="D32" s="14"/>
      <c r="E32" s="14"/>
      <c r="F32" s="14"/>
      <c r="G32" s="14"/>
      <c r="H32" s="14"/>
      <c r="I32" s="14"/>
      <c r="J32" s="95" t="s">
        <v>140</v>
      </c>
      <c r="K32" s="97">
        <f>IF(V14=99999,0,V14)*V13*IF(X14=99999,0,X14)*X13*Z14*K16*AA7</f>
        <v>45.406413000000001</v>
      </c>
      <c r="L32" s="223" t="s">
        <v>77</v>
      </c>
      <c r="M32" s="83"/>
      <c r="N32" s="72" t="str">
        <f>IF(K21="Vlastní rozměr","Zde přepsat -&gt;","")</f>
        <v/>
      </c>
      <c r="O32" s="159"/>
      <c r="P32" t="s">
        <v>114</v>
      </c>
      <c r="Q32" s="52">
        <f>PI()*((2*(Q34*Q35/100))+(25.4*Q36))/1000</f>
        <v>1.9320794819577227</v>
      </c>
      <c r="R32" t="s">
        <v>92</v>
      </c>
      <c r="S32" s="63"/>
      <c r="T32" s="285"/>
      <c r="U32" s="63"/>
      <c r="AF32" s="141" t="s">
        <v>219</v>
      </c>
      <c r="AG32" s="142">
        <v>7.54</v>
      </c>
      <c r="AH32" s="142">
        <v>4.51</v>
      </c>
      <c r="AI32" s="143">
        <v>2.79</v>
      </c>
      <c r="AJ32" s="143">
        <v>1.81</v>
      </c>
      <c r="AK32" s="143">
        <v>1.33</v>
      </c>
      <c r="AL32" s="142">
        <v>7.7</v>
      </c>
      <c r="AM32" s="127">
        <v>1</v>
      </c>
      <c r="AP32" s="141" t="s">
        <v>219</v>
      </c>
      <c r="AQ32" s="142">
        <v>7.54</v>
      </c>
      <c r="AR32" s="142">
        <v>4.51</v>
      </c>
      <c r="AS32" s="143">
        <v>2.79</v>
      </c>
      <c r="AT32" s="143">
        <v>1.81</v>
      </c>
      <c r="AU32" s="143">
        <v>1.33</v>
      </c>
      <c r="AV32" s="142">
        <v>7.7</v>
      </c>
      <c r="AW32" s="127">
        <v>1</v>
      </c>
    </row>
    <row r="33" spans="1:49" x14ac:dyDescent="0.25">
      <c r="A33" s="14"/>
      <c r="B33" s="14"/>
      <c r="C33" s="14"/>
      <c r="M33" s="83"/>
      <c r="N33" s="74"/>
      <c r="O33" s="14"/>
      <c r="T33" s="53"/>
      <c r="AF33" s="141" t="s">
        <v>220</v>
      </c>
      <c r="AG33" s="142">
        <v>5.5</v>
      </c>
      <c r="AH33" s="142">
        <v>3.2</v>
      </c>
      <c r="AI33" s="143">
        <v>2</v>
      </c>
      <c r="AJ33" s="143">
        <v>0.9</v>
      </c>
      <c r="AK33" s="143">
        <v>99999</v>
      </c>
      <c r="AL33" s="142">
        <v>7.3</v>
      </c>
      <c r="AM33" s="127">
        <v>1</v>
      </c>
      <c r="AP33" s="141" t="s">
        <v>220</v>
      </c>
      <c r="AQ33" s="142">
        <v>5.5</v>
      </c>
      <c r="AR33" s="142">
        <v>3.2</v>
      </c>
      <c r="AS33" s="143">
        <v>2</v>
      </c>
      <c r="AT33" s="143">
        <v>0.9</v>
      </c>
      <c r="AU33" s="143">
        <v>99999</v>
      </c>
      <c r="AV33" s="142">
        <v>7.3</v>
      </c>
      <c r="AW33" s="127">
        <v>1</v>
      </c>
    </row>
    <row r="34" spans="1:49" ht="15" customHeight="1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72" t="str">
        <f>IF(K21="Vlastní rozměr","Nebo zde  -&gt;","")</f>
        <v/>
      </c>
      <c r="O34" s="159"/>
      <c r="P34" t="s">
        <v>96</v>
      </c>
      <c r="Q34" s="44">
        <v>195</v>
      </c>
      <c r="R34" t="s">
        <v>98</v>
      </c>
      <c r="T34" s="53"/>
      <c r="AF34" s="141" t="s">
        <v>221</v>
      </c>
      <c r="AG34" s="142">
        <v>5.95</v>
      </c>
      <c r="AH34" s="142">
        <v>3.7</v>
      </c>
      <c r="AI34" s="143">
        <v>1.78</v>
      </c>
      <c r="AJ34" s="143">
        <v>1</v>
      </c>
      <c r="AK34" s="143">
        <v>99999</v>
      </c>
      <c r="AL34" s="142">
        <v>5.59</v>
      </c>
      <c r="AM34" s="127">
        <v>1</v>
      </c>
      <c r="AP34" s="141" t="s">
        <v>221</v>
      </c>
      <c r="AQ34" s="142">
        <v>5.95</v>
      </c>
      <c r="AR34" s="142">
        <v>3.7</v>
      </c>
      <c r="AS34" s="143">
        <v>1.78</v>
      </c>
      <c r="AT34" s="143">
        <v>1</v>
      </c>
      <c r="AU34" s="143">
        <v>99999</v>
      </c>
      <c r="AV34" s="142">
        <v>5.59</v>
      </c>
      <c r="AW34" s="127">
        <v>1</v>
      </c>
    </row>
    <row r="35" spans="1:49" x14ac:dyDescent="0.25">
      <c r="C35" s="277" t="s">
        <v>146</v>
      </c>
      <c r="D35" s="277"/>
      <c r="E35" s="277"/>
      <c r="F35" s="277"/>
      <c r="G35" s="277"/>
      <c r="H35" s="277"/>
      <c r="I35" s="277"/>
      <c r="N35" s="53"/>
      <c r="O35" s="14"/>
      <c r="P35" t="s">
        <v>95</v>
      </c>
      <c r="Q35" s="44">
        <v>60</v>
      </c>
      <c r="R35" t="s">
        <v>99</v>
      </c>
      <c r="T35" s="53"/>
      <c r="AF35" s="141" t="s">
        <v>222</v>
      </c>
      <c r="AG35" s="142">
        <v>4.5</v>
      </c>
      <c r="AH35" s="142">
        <v>2.75</v>
      </c>
      <c r="AI35" s="143">
        <v>1.7</v>
      </c>
      <c r="AJ35" s="143">
        <v>1.1499999999999999</v>
      </c>
      <c r="AK35" s="143">
        <v>99999</v>
      </c>
      <c r="AL35" s="142">
        <v>4.25</v>
      </c>
      <c r="AM35" s="127">
        <v>1</v>
      </c>
      <c r="AP35" s="141" t="s">
        <v>222</v>
      </c>
      <c r="AQ35" s="142">
        <v>4.5</v>
      </c>
      <c r="AR35" s="142">
        <v>2.75</v>
      </c>
      <c r="AS35" s="143">
        <v>1.7</v>
      </c>
      <c r="AT35" s="143">
        <v>1.1499999999999999</v>
      </c>
      <c r="AU35" s="143">
        <v>99999</v>
      </c>
      <c r="AV35" s="142">
        <v>4.25</v>
      </c>
      <c r="AW35" s="127">
        <v>1</v>
      </c>
    </row>
    <row r="36" spans="1:49" x14ac:dyDescent="0.25">
      <c r="D36" s="39"/>
      <c r="E36" s="39"/>
      <c r="F36" s="39"/>
      <c r="N36" s="53"/>
      <c r="O36" s="14"/>
      <c r="P36" t="s">
        <v>97</v>
      </c>
      <c r="Q36" s="44">
        <v>15</v>
      </c>
      <c r="R36" t="s">
        <v>100</v>
      </c>
      <c r="T36" s="53"/>
      <c r="AF36" s="125" t="s">
        <v>107</v>
      </c>
      <c r="AG36" s="137">
        <v>3.7269999999999999</v>
      </c>
      <c r="AH36" s="137">
        <v>2.0529999999999999</v>
      </c>
      <c r="AI36" s="137">
        <v>1.32</v>
      </c>
      <c r="AJ36" s="137">
        <v>0.96699999999999997</v>
      </c>
      <c r="AK36" s="137">
        <v>0.79400000000000004</v>
      </c>
      <c r="AL36" s="138">
        <v>3.5449999999999999</v>
      </c>
      <c r="AM36" s="146">
        <v>3.867</v>
      </c>
      <c r="AP36" s="125" t="s">
        <v>107</v>
      </c>
      <c r="AQ36" s="137">
        <v>3.7269999999999999</v>
      </c>
      <c r="AR36" s="137">
        <v>2.0529999999999999</v>
      </c>
      <c r="AS36" s="137">
        <v>1.32</v>
      </c>
      <c r="AT36" s="137">
        <v>0.96699999999999997</v>
      </c>
      <c r="AU36" s="137">
        <v>0.79400000000000004</v>
      </c>
      <c r="AV36" s="138">
        <v>3.5449999999999999</v>
      </c>
      <c r="AW36" s="146">
        <v>3.867</v>
      </c>
    </row>
    <row r="37" spans="1:49" ht="16.5" thickBot="1" x14ac:dyDescent="0.3">
      <c r="A37" s="57"/>
      <c r="B37" s="276" t="s">
        <v>135</v>
      </c>
      <c r="C37" s="276"/>
      <c r="D37" s="276"/>
      <c r="E37" s="276"/>
      <c r="F37" s="276"/>
      <c r="G37" s="276"/>
      <c r="H37" s="78" t="s">
        <v>133</v>
      </c>
      <c r="I37" s="78"/>
      <c r="N37" s="53"/>
      <c r="P37" t="s">
        <v>177</v>
      </c>
      <c r="Q37" s="36">
        <f>PI()*((2*(Q34*Q35/100))+(25.4*Q36))/1000</f>
        <v>1.9320794819577227</v>
      </c>
      <c r="R37" t="s">
        <v>92</v>
      </c>
      <c r="T37" s="53"/>
      <c r="AF37" s="125" t="s">
        <v>12</v>
      </c>
      <c r="AG37" s="138">
        <v>7.62</v>
      </c>
      <c r="AH37" s="138">
        <v>4.5999999999999996</v>
      </c>
      <c r="AI37" s="138">
        <v>2.79</v>
      </c>
      <c r="AJ37" s="138">
        <v>1.62</v>
      </c>
      <c r="AK37" s="138">
        <v>1</v>
      </c>
      <c r="AL37" s="138">
        <v>7.06</v>
      </c>
      <c r="AM37" s="146">
        <v>1</v>
      </c>
      <c r="AP37" s="125" t="s">
        <v>12</v>
      </c>
      <c r="AQ37" s="138">
        <v>7.62</v>
      </c>
      <c r="AR37" s="138">
        <v>4.5999999999999996</v>
      </c>
      <c r="AS37" s="138">
        <v>2.79</v>
      </c>
      <c r="AT37" s="138">
        <v>1.62</v>
      </c>
      <c r="AU37" s="138">
        <v>1</v>
      </c>
      <c r="AV37" s="138">
        <v>7.06</v>
      </c>
      <c r="AW37" s="146">
        <v>1</v>
      </c>
    </row>
    <row r="38" spans="1:49" ht="15" customHeight="1" x14ac:dyDescent="0.25">
      <c r="B38" s="14"/>
      <c r="C38" s="274" t="s">
        <v>103</v>
      </c>
      <c r="D38" s="274"/>
      <c r="E38" s="274"/>
      <c r="F38" s="274"/>
      <c r="G38" s="274"/>
      <c r="H38" s="274"/>
      <c r="I38" s="199"/>
      <c r="M38" s="83"/>
      <c r="N38" s="14"/>
      <c r="T38" s="53"/>
      <c r="AF38" s="125" t="s">
        <v>19</v>
      </c>
      <c r="AG38" s="138">
        <v>3.8</v>
      </c>
      <c r="AH38" s="137">
        <v>2.12</v>
      </c>
      <c r="AI38" s="138">
        <v>1.41</v>
      </c>
      <c r="AJ38" s="137">
        <v>0.96</v>
      </c>
      <c r="AK38" s="137">
        <v>99999</v>
      </c>
      <c r="AL38" s="138">
        <v>3.27</v>
      </c>
      <c r="AM38" s="146">
        <v>3.9</v>
      </c>
      <c r="AP38" s="125" t="s">
        <v>19</v>
      </c>
      <c r="AQ38" s="138">
        <v>3.8</v>
      </c>
      <c r="AR38" s="137">
        <v>2.12</v>
      </c>
      <c r="AS38" s="138">
        <v>1.41</v>
      </c>
      <c r="AT38" s="137">
        <v>0.96</v>
      </c>
      <c r="AU38" s="137">
        <v>99999</v>
      </c>
      <c r="AV38" s="138">
        <v>3.27</v>
      </c>
      <c r="AW38" s="146">
        <v>3.9</v>
      </c>
    </row>
    <row r="39" spans="1:49" ht="15" customHeight="1" x14ac:dyDescent="0.25">
      <c r="B39" s="59" t="s">
        <v>105</v>
      </c>
      <c r="C39" s="37" t="s">
        <v>27</v>
      </c>
      <c r="D39" s="37" t="s">
        <v>28</v>
      </c>
      <c r="E39" s="37" t="s">
        <v>29</v>
      </c>
      <c r="F39" s="37" t="s">
        <v>30</v>
      </c>
      <c r="G39" s="37" t="s">
        <v>31</v>
      </c>
      <c r="H39" s="37" t="s">
        <v>32</v>
      </c>
      <c r="I39" s="208"/>
      <c r="M39" s="83"/>
      <c r="N39" s="14"/>
      <c r="P39" s="163" t="s">
        <v>278</v>
      </c>
      <c r="Q39" s="163"/>
      <c r="R39" s="163"/>
      <c r="S39" s="110"/>
      <c r="T39" s="284"/>
      <c r="AF39" s="125" t="s">
        <v>20</v>
      </c>
      <c r="AG39" s="138">
        <v>3.8</v>
      </c>
      <c r="AH39" s="137">
        <v>2.12</v>
      </c>
      <c r="AI39" s="138">
        <v>1.41</v>
      </c>
      <c r="AJ39" s="137">
        <v>0.96</v>
      </c>
      <c r="AK39" s="137">
        <v>0.83</v>
      </c>
      <c r="AL39" s="138">
        <v>3.27</v>
      </c>
      <c r="AM39" s="146">
        <v>4.22</v>
      </c>
      <c r="AP39" s="125" t="s">
        <v>20</v>
      </c>
      <c r="AQ39" s="138">
        <v>3.8</v>
      </c>
      <c r="AR39" s="137">
        <v>2.12</v>
      </c>
      <c r="AS39" s="138">
        <v>1.41</v>
      </c>
      <c r="AT39" s="137">
        <v>0.96</v>
      </c>
      <c r="AU39" s="137">
        <v>0.83</v>
      </c>
      <c r="AV39" s="138">
        <v>3.27</v>
      </c>
      <c r="AW39" s="146">
        <v>4.22</v>
      </c>
    </row>
    <row r="40" spans="1:49" ht="15" customHeight="1" x14ac:dyDescent="0.25">
      <c r="A40" s="278" t="s">
        <v>125</v>
      </c>
      <c r="B40" s="56" t="s">
        <v>27</v>
      </c>
      <c r="C40" s="42">
        <f>V7*V13*X7*X13*K16*Z7*AA7</f>
        <v>757.6632335999999</v>
      </c>
      <c r="D40" s="42">
        <f>V8*V13*X7*X13*K16*Z7*AA7</f>
        <v>351.77221559999998</v>
      </c>
      <c r="E40" s="42">
        <f>(IF(V9=99999,0,V9)*V13*X7*X13*K16*Z7)*AA7</f>
        <v>189.41580839999997</v>
      </c>
      <c r="F40" s="42">
        <f>(IF(V10=99999,0,V10)*V13*X7*X13*K16*Z7)*AA7</f>
        <v>135.29700600000001</v>
      </c>
      <c r="G40" s="42">
        <f>(IF(V11=99999,0,V11)*V13*X7*X13*K16*Z7)*AA7</f>
        <v>0</v>
      </c>
      <c r="H40" s="79">
        <f>(IF(V12=99999,0,V12)*V13*X7*X13*K16*Z7)*AA7</f>
        <v>825.31173660000002</v>
      </c>
      <c r="I40" s="79"/>
      <c r="M40" s="83"/>
      <c r="N40" s="240" t="str">
        <f>IF(G20="jiný","Zde napiš poměr -&gt;","")</f>
        <v/>
      </c>
      <c r="P40" s="215" t="s">
        <v>170</v>
      </c>
      <c r="Q40" s="224">
        <f>R42/Q42</f>
        <v>1.1785714285714286</v>
      </c>
      <c r="S40" s="21" t="str">
        <f>IF(Q40=1,"zbytečný převod (1:1)","")</f>
        <v/>
      </c>
      <c r="T40" s="287"/>
      <c r="AF40" s="141" t="s">
        <v>223</v>
      </c>
      <c r="AG40" s="142">
        <v>4.2699999999999996</v>
      </c>
      <c r="AH40" s="142">
        <v>2.46</v>
      </c>
      <c r="AI40" s="143">
        <v>1.59</v>
      </c>
      <c r="AJ40" s="143">
        <v>1</v>
      </c>
      <c r="AK40" s="143">
        <v>99999</v>
      </c>
      <c r="AL40" s="142">
        <v>5.61</v>
      </c>
      <c r="AM40" s="127">
        <v>1</v>
      </c>
      <c r="AP40" s="141" t="s">
        <v>223</v>
      </c>
      <c r="AQ40" s="142">
        <v>4.2699999999999996</v>
      </c>
      <c r="AR40" s="142">
        <v>2.46</v>
      </c>
      <c r="AS40" s="143">
        <v>1.59</v>
      </c>
      <c r="AT40" s="143">
        <v>1</v>
      </c>
      <c r="AU40" s="143">
        <v>99999</v>
      </c>
      <c r="AV40" s="142">
        <v>5.61</v>
      </c>
      <c r="AW40" s="127">
        <v>1</v>
      </c>
    </row>
    <row r="41" spans="1:49" x14ac:dyDescent="0.25">
      <c r="A41" s="278"/>
      <c r="B41" s="56" t="s">
        <v>28</v>
      </c>
      <c r="C41" s="42">
        <f>V7*V13*X8*X13*K16*Z7*AA7</f>
        <v>453.19113839999989</v>
      </c>
      <c r="D41" s="42">
        <f>V8*V13*X8*X13*K16*Z7*AA7</f>
        <v>210.4101714</v>
      </c>
      <c r="E41" s="42">
        <f>(IF(V9=99999,0,V9)*V13*X8*X13*K16*Z7)*AA7</f>
        <v>113.29778459999997</v>
      </c>
      <c r="F41" s="42">
        <f>(IF(V10=99999,0,V10)*V13*X8*X13*K16*Z7)*AA7</f>
        <v>80.926988999999992</v>
      </c>
      <c r="G41" s="42">
        <f>(IF(V11=99999,0,V11)*V13*X8*X13*K16*Z7)*AA7</f>
        <v>0</v>
      </c>
      <c r="H41" s="79">
        <f>(IF(V12=99999,0,V12)*V13*X8*X13*K16*Z7)*AA7</f>
        <v>493.65463289999991</v>
      </c>
      <c r="I41" s="79"/>
      <c r="M41" s="83"/>
      <c r="N41" s="14"/>
      <c r="Q41" t="s">
        <v>281</v>
      </c>
      <c r="T41" s="53"/>
      <c r="AF41" s="125" t="s">
        <v>106</v>
      </c>
      <c r="AG41" s="140">
        <v>3.8</v>
      </c>
      <c r="AH41" s="137">
        <v>2.12</v>
      </c>
      <c r="AI41" s="138">
        <v>1.41</v>
      </c>
      <c r="AJ41" s="137">
        <v>0.92700000000000005</v>
      </c>
      <c r="AK41" s="137">
        <v>0.71699999999999997</v>
      </c>
      <c r="AL41" s="138">
        <v>2.927</v>
      </c>
      <c r="AM41" s="127">
        <v>3.895</v>
      </c>
      <c r="AP41" s="125" t="s">
        <v>106</v>
      </c>
      <c r="AQ41" s="140">
        <v>3.8</v>
      </c>
      <c r="AR41" s="137">
        <v>2.12</v>
      </c>
      <c r="AS41" s="138">
        <v>1.41</v>
      </c>
      <c r="AT41" s="137">
        <v>0.92700000000000005</v>
      </c>
      <c r="AU41" s="137">
        <v>0.71699999999999997</v>
      </c>
      <c r="AV41" s="138">
        <v>2.927</v>
      </c>
      <c r="AW41" s="127">
        <v>3.895</v>
      </c>
    </row>
    <row r="42" spans="1:49" x14ac:dyDescent="0.25">
      <c r="A42" s="278"/>
      <c r="B42" s="56" t="s">
        <v>29</v>
      </c>
      <c r="C42" s="42">
        <f>(IF(V7=99999,0,V7))*(IF(X9=99999,0,X9))*K16*V13*X13*Z7*AA7</f>
        <v>280.35549359999993</v>
      </c>
      <c r="D42" s="42">
        <f>(IF(V8=99999,0,V8))*(IF(X9=99999,0,X9))*K16*V13*X13*Z7*AA7</f>
        <v>130.1650506</v>
      </c>
      <c r="E42" s="42">
        <f>(IF(V9=99999,0,V9))*(IF(X9=99999,0,X9))*K16*V13*X13*Z7*AA7</f>
        <v>70.088873399999983</v>
      </c>
      <c r="F42" s="42">
        <f>(IF(V10=99999,0,V10))*(IF(X9=99999,0,X9))*K16*V13*X13*Z7*AA7</f>
        <v>50.063481000000003</v>
      </c>
      <c r="G42" s="42">
        <f>(IF(V11=99999,0,V11))*(IF(X9=99999,0,X9))*K16*V13*X13*Z7*AA7</f>
        <v>0</v>
      </c>
      <c r="H42" s="79">
        <f>(IF(V12=99999,0,V12))*(IF(X9=99999,0,X9))*K16*V13*X13*Z7*AA7</f>
        <v>305.38723409999994</v>
      </c>
      <c r="I42" s="79"/>
      <c r="M42" s="83"/>
      <c r="N42" s="245" t="str">
        <f>IF(G37="jiný","Nebo zde počet zubů -&gt;","")</f>
        <v/>
      </c>
      <c r="Q42" s="244">
        <v>28</v>
      </c>
      <c r="R42" s="244">
        <v>33</v>
      </c>
      <c r="S42" s="21" t="str">
        <f>IF(Q42&gt;R42,"zrychlující poměr !","")</f>
        <v/>
      </c>
      <c r="T42" s="287"/>
      <c r="AF42" s="125" t="s">
        <v>93</v>
      </c>
      <c r="AG42" s="140">
        <v>3.4620000000000002</v>
      </c>
      <c r="AH42" s="137">
        <v>1.9570000000000001</v>
      </c>
      <c r="AI42" s="138">
        <v>1.31</v>
      </c>
      <c r="AJ42" s="137">
        <v>0.97499999999999998</v>
      </c>
      <c r="AK42" s="137">
        <v>0.75600000000000001</v>
      </c>
      <c r="AL42" s="138">
        <v>2.923</v>
      </c>
      <c r="AM42" s="127">
        <v>3.8330000000000002</v>
      </c>
      <c r="AP42" s="125" t="s">
        <v>93</v>
      </c>
      <c r="AQ42" s="140">
        <v>3.4620000000000002</v>
      </c>
      <c r="AR42" s="137">
        <v>1.9570000000000001</v>
      </c>
      <c r="AS42" s="138">
        <v>1.31</v>
      </c>
      <c r="AT42" s="137">
        <v>0.97499999999999998</v>
      </c>
      <c r="AU42" s="137">
        <v>0.75600000000000001</v>
      </c>
      <c r="AV42" s="138">
        <v>2.923</v>
      </c>
      <c r="AW42" s="127">
        <v>3.8330000000000002</v>
      </c>
    </row>
    <row r="43" spans="1:49" x14ac:dyDescent="0.25">
      <c r="A43" s="278"/>
      <c r="B43" s="56" t="s">
        <v>30</v>
      </c>
      <c r="C43" s="42">
        <f>(IF(V7=99999,0,V7))*(IF(X10=99999,0,X10))*K16*V13*X13*Z7*AA7</f>
        <v>181.8793704</v>
      </c>
      <c r="D43" s="42">
        <f>(IF(V8=99999,0,V8))*(IF(X10=99999,0,X10))*K16*V13*X13*Z7*AA7</f>
        <v>84.443993399999997</v>
      </c>
      <c r="E43" s="42">
        <f>(IF(V9=99999,0,V9))*(IF(X10=99999,0,X10))*K16*V13*X13*Z7*AA7</f>
        <v>45.4698426</v>
      </c>
      <c r="F43" s="42">
        <f>(IF(V10=99999,0,V10))*(IF(X10=99999,0,X10))*K16*V13*X13*Z7*AA7</f>
        <v>32.478459000000001</v>
      </c>
      <c r="G43" s="42">
        <f>(IF(V11=99999,0,V11))*(IF(X10=99999,0,X10))*K16*V13*X13*Z7*AA7</f>
        <v>0</v>
      </c>
      <c r="H43" s="79">
        <f>(IF(V12=99999,0,V12))*(IF(X10=99999,0,X10))*K16*V13*X13*Z7*AA7</f>
        <v>198.11859990000002</v>
      </c>
      <c r="I43" s="79"/>
      <c r="M43" s="83"/>
      <c r="Q43" s="215" t="s">
        <v>170</v>
      </c>
      <c r="R43" s="225">
        <f>R42/Q42</f>
        <v>1.1785714285714286</v>
      </c>
      <c r="T43" s="53"/>
      <c r="AF43" s="141" t="s">
        <v>224</v>
      </c>
      <c r="AG43" s="142">
        <v>5.29</v>
      </c>
      <c r="AH43" s="142">
        <v>2.78</v>
      </c>
      <c r="AI43" s="143">
        <v>1.62</v>
      </c>
      <c r="AJ43" s="143">
        <v>1</v>
      </c>
      <c r="AK43" s="143">
        <v>99999</v>
      </c>
      <c r="AL43" s="142">
        <v>5.91</v>
      </c>
      <c r="AM43" s="127">
        <v>1</v>
      </c>
      <c r="AP43" s="141" t="s">
        <v>224</v>
      </c>
      <c r="AQ43" s="142">
        <v>5.29</v>
      </c>
      <c r="AR43" s="142">
        <v>2.78</v>
      </c>
      <c r="AS43" s="143">
        <v>1.62</v>
      </c>
      <c r="AT43" s="143">
        <v>1</v>
      </c>
      <c r="AU43" s="143">
        <v>99999</v>
      </c>
      <c r="AV43" s="142">
        <v>5.91</v>
      </c>
      <c r="AW43" s="127">
        <v>1</v>
      </c>
    </row>
    <row r="44" spans="1:49" ht="15" customHeight="1" x14ac:dyDescent="0.25">
      <c r="A44" s="278"/>
      <c r="B44" s="56" t="s">
        <v>31</v>
      </c>
      <c r="C44" s="42">
        <f>(IF(V7=99999,0,V7))*(IF(X11=99999,0,X11))*K16*V13*X13*Z7*AA7</f>
        <v>133.64616719999998</v>
      </c>
      <c r="D44" s="42">
        <f>(IF(V8=99999,0,V8))*(IF(X11=99999,0,X11))*K16*V13*X13*Z7*AA7</f>
        <v>62.050006199999999</v>
      </c>
      <c r="E44" s="42">
        <f>(IF(V9=99999,0,V9))*(IF(X11=99999,0,X11))*K16*V13*X13*Z7*AA7</f>
        <v>33.411541799999995</v>
      </c>
      <c r="F44" s="42">
        <f>(IF(V10=99999,0,V10))*(IF(X11=99999,0,X11))*K16*V13*X13*Z7*AA7</f>
        <v>23.865386999999998</v>
      </c>
      <c r="G44" s="42">
        <f>(IF(V11=99999,0,V11))*(IF(X11=99999,0,X11))*K16*V13*X13*Z7*AA7</f>
        <v>0</v>
      </c>
      <c r="H44" s="79">
        <f>(IF(V12=99999,0,V12))*(IF(X11=99999,0,X11))*K16*V13*X13*Z7*AA7</f>
        <v>145.57886069999998</v>
      </c>
      <c r="I44" s="79"/>
      <c r="M44" s="83"/>
      <c r="N44" s="14"/>
      <c r="T44" s="53"/>
      <c r="AF44" s="141" t="s">
        <v>21</v>
      </c>
      <c r="AG44" s="142">
        <v>6.65</v>
      </c>
      <c r="AH44" s="142">
        <v>3.1</v>
      </c>
      <c r="AI44" s="143">
        <v>1.7150000000000001</v>
      </c>
      <c r="AJ44" s="143">
        <v>1.0449999999999999</v>
      </c>
      <c r="AK44" s="143">
        <v>99999</v>
      </c>
      <c r="AL44" s="142">
        <v>5.0999999999999996</v>
      </c>
      <c r="AM44" s="127">
        <v>1</v>
      </c>
      <c r="AP44" s="141" t="s">
        <v>21</v>
      </c>
      <c r="AQ44" s="142">
        <v>6.65</v>
      </c>
      <c r="AR44" s="142">
        <v>3.1</v>
      </c>
      <c r="AS44" s="143">
        <v>1.7150000000000001</v>
      </c>
      <c r="AT44" s="143">
        <v>1.0449999999999999</v>
      </c>
      <c r="AU44" s="143">
        <v>99999</v>
      </c>
      <c r="AV44" s="142">
        <v>5.0999999999999996</v>
      </c>
      <c r="AW44" s="127">
        <v>1</v>
      </c>
    </row>
    <row r="45" spans="1:49" x14ac:dyDescent="0.25">
      <c r="A45" s="278"/>
      <c r="B45" s="56" t="s">
        <v>32</v>
      </c>
      <c r="C45" s="80">
        <f>(IF(V7=99999,0,V7))*(IF(X12=99999,0,X12))*K16*V13*X13*Z7*AA7</f>
        <v>773.74096799999984</v>
      </c>
      <c r="D45" s="80">
        <f>(IF(V8=99999,0,V8))*(IF(X12=99999,0,X12))*K16*V13*X13*Z7*AA7</f>
        <v>359.23687799999999</v>
      </c>
      <c r="E45" s="80">
        <f>(IF(V9=99999,0,V9))*(IF(X12=99999,0,X12))*K16*V13*X13*Z7*AA7</f>
        <v>193.43524199999996</v>
      </c>
      <c r="F45" s="80">
        <f>(IF(V10=99999,0,V10))*(IF(X12=99999,0,X12))*K16*V13*X13*Z7*AA7</f>
        <v>138.16802999999999</v>
      </c>
      <c r="G45" s="80">
        <f>(IF(V11=99999,0,V11))*(IF(X12=99999,0,X12))*K16*V13*X13*Z7*AA7</f>
        <v>0</v>
      </c>
      <c r="H45" s="79">
        <f>(IF(V12=99999,0,V12))*(IF(X12=99999,0,X12))*K16*V13*X13*Z7*AA7</f>
        <v>842.82498299999997</v>
      </c>
      <c r="I45" s="79"/>
      <c r="M45" s="83"/>
      <c r="N45" s="14"/>
      <c r="T45" s="53"/>
      <c r="AF45" s="141" t="s">
        <v>225</v>
      </c>
      <c r="AG45" s="142">
        <v>4.1239999999999997</v>
      </c>
      <c r="AH45" s="142">
        <v>2.641</v>
      </c>
      <c r="AI45" s="143">
        <v>1.58</v>
      </c>
      <c r="AJ45" s="143">
        <v>1</v>
      </c>
      <c r="AK45" s="143">
        <v>99999</v>
      </c>
      <c r="AL45" s="142">
        <v>5.2240000000000002</v>
      </c>
      <c r="AM45" s="127">
        <v>1</v>
      </c>
      <c r="AP45" s="141" t="s">
        <v>225</v>
      </c>
      <c r="AQ45" s="142">
        <v>4.1239999999999997</v>
      </c>
      <c r="AR45" s="142">
        <v>2.641</v>
      </c>
      <c r="AS45" s="143">
        <v>1.58</v>
      </c>
      <c r="AT45" s="143">
        <v>1</v>
      </c>
      <c r="AU45" s="143">
        <v>99999</v>
      </c>
      <c r="AV45" s="142">
        <v>5.2240000000000002</v>
      </c>
      <c r="AW45" s="127">
        <v>1</v>
      </c>
    </row>
    <row r="46" spans="1:49" x14ac:dyDescent="0.25">
      <c r="A46" s="91"/>
      <c r="M46" s="83"/>
      <c r="N46" s="14"/>
      <c r="T46" s="53"/>
      <c r="AF46" s="125" t="s">
        <v>10</v>
      </c>
      <c r="AG46" s="138">
        <v>6.19</v>
      </c>
      <c r="AH46" s="138">
        <v>3.13</v>
      </c>
      <c r="AI46" s="138">
        <v>1.75</v>
      </c>
      <c r="AJ46" s="138">
        <v>1</v>
      </c>
      <c r="AK46" s="137">
        <v>99999</v>
      </c>
      <c r="AL46" s="138">
        <v>6.28</v>
      </c>
      <c r="AM46" s="146">
        <v>1</v>
      </c>
      <c r="AP46" s="125" t="s">
        <v>10</v>
      </c>
      <c r="AQ46" s="138">
        <v>6.19</v>
      </c>
      <c r="AR46" s="138">
        <v>3.13</v>
      </c>
      <c r="AS46" s="138">
        <v>1.75</v>
      </c>
      <c r="AT46" s="138">
        <v>1</v>
      </c>
      <c r="AU46" s="137">
        <v>99999</v>
      </c>
      <c r="AV46" s="138">
        <v>6.28</v>
      </c>
      <c r="AW46" s="146">
        <v>1</v>
      </c>
    </row>
    <row r="47" spans="1:49" ht="16.5" thickBot="1" x14ac:dyDescent="0.3">
      <c r="A47" s="87"/>
      <c r="B47" s="276" t="s">
        <v>135</v>
      </c>
      <c r="C47" s="276"/>
      <c r="D47" s="276"/>
      <c r="E47" s="276"/>
      <c r="F47" s="276"/>
      <c r="G47" s="276"/>
      <c r="H47" s="78" t="s">
        <v>134</v>
      </c>
      <c r="I47" s="78"/>
      <c r="N47" s="53"/>
      <c r="T47" s="53"/>
      <c r="AF47" s="125" t="s">
        <v>195</v>
      </c>
      <c r="AG47" s="138">
        <v>3.7530000000000001</v>
      </c>
      <c r="AH47" s="137">
        <v>2.3029999999999999</v>
      </c>
      <c r="AI47" s="138">
        <v>1.4930000000000001</v>
      </c>
      <c r="AJ47" s="137">
        <v>1</v>
      </c>
      <c r="AK47" s="137">
        <v>99999</v>
      </c>
      <c r="AL47" s="138">
        <v>3.867</v>
      </c>
      <c r="AM47" s="146">
        <v>1</v>
      </c>
      <c r="AP47" s="125" t="s">
        <v>195</v>
      </c>
      <c r="AQ47" s="138">
        <v>3.7530000000000001</v>
      </c>
      <c r="AR47" s="137">
        <v>2.3029999999999999</v>
      </c>
      <c r="AS47" s="138">
        <v>1.4930000000000001</v>
      </c>
      <c r="AT47" s="137">
        <v>1</v>
      </c>
      <c r="AU47" s="137">
        <v>99999</v>
      </c>
      <c r="AV47" s="138">
        <v>3.867</v>
      </c>
      <c r="AW47" s="146">
        <v>1</v>
      </c>
    </row>
    <row r="48" spans="1:49" ht="15" customHeight="1" x14ac:dyDescent="0.25">
      <c r="A48" s="88"/>
      <c r="B48" s="14"/>
      <c r="C48" s="274" t="s">
        <v>103</v>
      </c>
      <c r="D48" s="274"/>
      <c r="E48" s="274"/>
      <c r="F48" s="274"/>
      <c r="G48" s="274"/>
      <c r="H48" s="274"/>
      <c r="I48" s="199"/>
      <c r="N48" s="53"/>
      <c r="T48" s="53"/>
      <c r="AF48" s="141" t="s">
        <v>196</v>
      </c>
      <c r="AG48" s="142">
        <v>3.7530000000000001</v>
      </c>
      <c r="AH48" s="142">
        <v>2.3029999999999999</v>
      </c>
      <c r="AI48" s="143">
        <v>1.4930000000000001</v>
      </c>
      <c r="AJ48" s="143">
        <v>1</v>
      </c>
      <c r="AK48" s="143">
        <v>99999</v>
      </c>
      <c r="AL48" s="142">
        <v>3.867</v>
      </c>
      <c r="AM48" s="127">
        <v>1</v>
      </c>
      <c r="AP48" s="141" t="s">
        <v>196</v>
      </c>
      <c r="AQ48" s="142">
        <v>3.7530000000000001</v>
      </c>
      <c r="AR48" s="142">
        <v>2.3029999999999999</v>
      </c>
      <c r="AS48" s="143">
        <v>1.4930000000000001</v>
      </c>
      <c r="AT48" s="143">
        <v>1</v>
      </c>
      <c r="AU48" s="143">
        <v>99999</v>
      </c>
      <c r="AV48" s="142">
        <v>3.867</v>
      </c>
      <c r="AW48" s="127">
        <v>1</v>
      </c>
    </row>
    <row r="49" spans="1:49" x14ac:dyDescent="0.25">
      <c r="A49" s="88"/>
      <c r="B49" s="59" t="s">
        <v>105</v>
      </c>
      <c r="C49" s="37" t="s">
        <v>27</v>
      </c>
      <c r="D49" s="37" t="s">
        <v>28</v>
      </c>
      <c r="E49" s="37" t="s">
        <v>29</v>
      </c>
      <c r="F49" s="37" t="s">
        <v>30</v>
      </c>
      <c r="G49" s="37" t="s">
        <v>31</v>
      </c>
      <c r="H49" s="37" t="s">
        <v>32</v>
      </c>
      <c r="I49" s="208"/>
      <c r="N49" s="53"/>
      <c r="T49" s="53"/>
      <c r="AF49" s="141" t="s">
        <v>226</v>
      </c>
      <c r="AG49" s="142">
        <v>3.67</v>
      </c>
      <c r="AH49" s="142">
        <v>2.1</v>
      </c>
      <c r="AI49" s="142">
        <v>1.36</v>
      </c>
      <c r="AJ49" s="142">
        <v>1</v>
      </c>
      <c r="AK49" s="142">
        <v>0.82</v>
      </c>
      <c r="AL49" s="142">
        <v>3.53</v>
      </c>
      <c r="AM49" s="127">
        <v>1</v>
      </c>
      <c r="AP49" s="141" t="s">
        <v>226</v>
      </c>
      <c r="AQ49" s="142">
        <v>3.67</v>
      </c>
      <c r="AR49" s="142">
        <v>2.1</v>
      </c>
      <c r="AS49" s="142">
        <v>1.36</v>
      </c>
      <c r="AT49" s="142">
        <v>1</v>
      </c>
      <c r="AU49" s="142">
        <v>0.82</v>
      </c>
      <c r="AV49" s="142">
        <v>3.53</v>
      </c>
      <c r="AW49" s="127">
        <v>1</v>
      </c>
    </row>
    <row r="50" spans="1:49" ht="15" customHeight="1" x14ac:dyDescent="0.25">
      <c r="A50" s="278" t="s">
        <v>125</v>
      </c>
      <c r="B50" s="56" t="s">
        <v>27</v>
      </c>
      <c r="C50" s="42">
        <f>V7*V13*X7*X13*K16*Z8*AA7</f>
        <v>264.30112800000001</v>
      </c>
      <c r="D50" s="42">
        <f>V8*V13*X7*X13*K16*Z8*AA7</f>
        <v>122.71123799999999</v>
      </c>
      <c r="E50" s="42">
        <f>(IF(V9=99999,0,V9)*V13*X7*X13*K16*Z8)*AA7</f>
        <v>66.075282000000001</v>
      </c>
      <c r="F50" s="42">
        <f>(IF(V10=99999,0,V10)*V13*X7*X13*K16*Z8)*AA7</f>
        <v>47.196629999999999</v>
      </c>
      <c r="G50" s="42">
        <f>(IF(V11=99999,0,V11)*V13*X7*X13*K16*Z8)*AA7</f>
        <v>0</v>
      </c>
      <c r="H50" s="79">
        <f>(IF(V12=99999,0,V12)*V13*X7*X13*K16*Z8)*AA7</f>
        <v>287.89944300000002</v>
      </c>
      <c r="I50" s="79"/>
      <c r="N50" s="53"/>
      <c r="T50" s="53"/>
      <c r="AF50" s="141" t="s">
        <v>227</v>
      </c>
      <c r="AG50" s="142">
        <v>3.11</v>
      </c>
      <c r="AH50" s="142">
        <v>1.77</v>
      </c>
      <c r="AI50" s="143">
        <v>1</v>
      </c>
      <c r="AJ50" s="143">
        <v>99999</v>
      </c>
      <c r="AK50" s="143">
        <v>99999</v>
      </c>
      <c r="AL50" s="142">
        <v>3.73</v>
      </c>
      <c r="AM50" s="127">
        <v>1</v>
      </c>
      <c r="AP50" s="141" t="s">
        <v>227</v>
      </c>
      <c r="AQ50" s="142">
        <v>3.11</v>
      </c>
      <c r="AR50" s="142">
        <v>1.77</v>
      </c>
      <c r="AS50" s="143">
        <v>1</v>
      </c>
      <c r="AT50" s="143">
        <v>99999</v>
      </c>
      <c r="AU50" s="143">
        <v>99999</v>
      </c>
      <c r="AV50" s="142">
        <v>3.73</v>
      </c>
      <c r="AW50" s="127">
        <v>1</v>
      </c>
    </row>
    <row r="51" spans="1:49" x14ac:dyDescent="0.25">
      <c r="A51" s="278"/>
      <c r="B51" s="56" t="s">
        <v>28</v>
      </c>
      <c r="C51" s="42">
        <f>V7*V13*X8*X13*K16*Z8*AA7</f>
        <v>158.08993199999998</v>
      </c>
      <c r="D51" s="42">
        <f>V8*V13*X8*X13*K16*Z8*AA7</f>
        <v>73.398897000000005</v>
      </c>
      <c r="E51" s="42">
        <f>(IF(V9=99999,0,V9)*V13*X8*X13*K16*Z8)*AA7</f>
        <v>39.522482999999994</v>
      </c>
      <c r="F51" s="42">
        <f>(IF(V10=99999,0,V10)*V13*X8*X13*K16*Z8)*AA7</f>
        <v>28.230345</v>
      </c>
      <c r="G51" s="42">
        <f>(IF(V11=99999,0,V11)*V13*X8*X13*K16*Z8)*AA7</f>
        <v>0</v>
      </c>
      <c r="H51" s="79">
        <f>(IF(V12=99999,0,V12)*V13*X8*X13*K16*Z8)*AA7</f>
        <v>172.20510449999998</v>
      </c>
      <c r="I51" s="79"/>
      <c r="N51" s="53"/>
      <c r="T51" s="53"/>
      <c r="AF51" s="141" t="s">
        <v>228</v>
      </c>
      <c r="AG51" s="142">
        <v>3.4</v>
      </c>
      <c r="AH51" s="142">
        <v>2.25</v>
      </c>
      <c r="AI51" s="143">
        <v>1.4</v>
      </c>
      <c r="AJ51" s="143">
        <v>1</v>
      </c>
      <c r="AK51" s="143">
        <v>99999</v>
      </c>
      <c r="AL51" s="142">
        <v>3.5</v>
      </c>
      <c r="AM51" s="127">
        <v>1</v>
      </c>
      <c r="AP51" s="141" t="s">
        <v>228</v>
      </c>
      <c r="AQ51" s="142">
        <v>3.4</v>
      </c>
      <c r="AR51" s="142">
        <v>2.25</v>
      </c>
      <c r="AS51" s="143">
        <v>1.4</v>
      </c>
      <c r="AT51" s="143">
        <v>1</v>
      </c>
      <c r="AU51" s="143">
        <v>99999</v>
      </c>
      <c r="AV51" s="142">
        <v>3.5</v>
      </c>
      <c r="AW51" s="127">
        <v>1</v>
      </c>
    </row>
    <row r="52" spans="1:49" x14ac:dyDescent="0.25">
      <c r="A52" s="278"/>
      <c r="B52" s="56" t="s">
        <v>29</v>
      </c>
      <c r="C52" s="42">
        <f>(IF(V7=99999,0,V7))*(IF(X9=99999,0,X9))*K16*V13*X13*Z8*AA7</f>
        <v>97.798427999999987</v>
      </c>
      <c r="D52" s="42">
        <f>(IF(V8=99999,0,V8))*(IF(X9=99999,0,X9))*K16*V13*X13*Z8*AA7</f>
        <v>45.406413000000001</v>
      </c>
      <c r="E52" s="42">
        <f>(IF(V9=99999,0,V9))*(IF(X9=99999,0,X9))*K16*V13*X13*Z8*AA7</f>
        <v>24.449606999999997</v>
      </c>
      <c r="F52" s="42">
        <f>(IF(V10=99999,0,V10))*(IF(X9=99999,0,X9))*K16*V13*X13*Z8*AA7</f>
        <v>17.464005</v>
      </c>
      <c r="G52" s="42">
        <f>(IF(V11=99999,0,V11))*(IF(X9=99999,0,X9))*K16*V13*X13*Z8*AA7</f>
        <v>0</v>
      </c>
      <c r="H52" s="79">
        <f>(IF(V12=99999,0,V12))*(IF(X9=99999,0,X9))*K16*V13*X13*Z8*AA7</f>
        <v>106.53043049999999</v>
      </c>
      <c r="I52" s="79"/>
      <c r="N52" s="53"/>
      <c r="T52" s="53"/>
      <c r="AF52" s="125" t="s">
        <v>108</v>
      </c>
      <c r="AG52" s="140">
        <v>3.4550000000000001</v>
      </c>
      <c r="AH52" s="137">
        <v>1.952</v>
      </c>
      <c r="AI52" s="137">
        <v>1.25</v>
      </c>
      <c r="AJ52" s="137">
        <v>0.89500000000000002</v>
      </c>
      <c r="AK52" s="137">
        <v>99999</v>
      </c>
      <c r="AL52" s="138">
        <v>3.3849999999999998</v>
      </c>
      <c r="AM52" s="127">
        <v>4.2670000000000003</v>
      </c>
      <c r="AP52" s="125" t="s">
        <v>108</v>
      </c>
      <c r="AQ52" s="140">
        <v>3.4550000000000001</v>
      </c>
      <c r="AR52" s="137">
        <v>1.952</v>
      </c>
      <c r="AS52" s="137">
        <v>1.25</v>
      </c>
      <c r="AT52" s="137">
        <v>0.89500000000000002</v>
      </c>
      <c r="AU52" s="137">
        <v>99999</v>
      </c>
      <c r="AV52" s="138">
        <v>3.3849999999999998</v>
      </c>
      <c r="AW52" s="127">
        <v>4.2670000000000003</v>
      </c>
    </row>
    <row r="53" spans="1:49" x14ac:dyDescent="0.25">
      <c r="A53" s="278"/>
      <c r="B53" s="56" t="s">
        <v>30</v>
      </c>
      <c r="C53" s="42">
        <f>(IF(V7=99999,0,V7))*(IF(X10=99999,0,X10))*K16*V13*X13*Z8*AA7</f>
        <v>63.446292</v>
      </c>
      <c r="D53" s="42">
        <f>(IF(V8=99999,0,V8))*(IF(X10=99999,0,X10))*K16*V13*X13*Z8*AA7</f>
        <v>29.457207000000004</v>
      </c>
      <c r="E53" s="42">
        <f>(IF(V9=99999,0,V9))*(IF(X10=99999,0,X10))*K16*V13*X13*Z8*AA7</f>
        <v>15.861573</v>
      </c>
      <c r="F53" s="42">
        <f>(IF(V10=99999,0,V10))*(IF(X10=99999,0,X10))*K16*V13*X13*Z8*AA7</f>
        <v>11.329695000000001</v>
      </c>
      <c r="G53" s="42">
        <f>(IF(V11=99999,0,V11))*(IF(X10=99999,0,X10))*K16*V13*X13*Z8*AA7</f>
        <v>0</v>
      </c>
      <c r="H53" s="79">
        <f>(IF(V12=99999,0,V12))*(IF(X10=99999,0,X10))*K16*V13*X13*Z8*AA7</f>
        <v>69.111139500000007</v>
      </c>
      <c r="I53" s="79"/>
      <c r="N53" s="53"/>
      <c r="T53" s="53"/>
      <c r="AF53" s="125" t="s">
        <v>11</v>
      </c>
      <c r="AG53" s="138">
        <v>7.44</v>
      </c>
      <c r="AH53" s="138">
        <v>4.0999999999999996</v>
      </c>
      <c r="AI53" s="138">
        <v>2.29</v>
      </c>
      <c r="AJ53" s="138">
        <v>1.47</v>
      </c>
      <c r="AK53" s="138">
        <v>1</v>
      </c>
      <c r="AL53" s="138">
        <v>7.09</v>
      </c>
      <c r="AM53" s="146">
        <v>1</v>
      </c>
      <c r="AP53" s="125" t="s">
        <v>11</v>
      </c>
      <c r="AQ53" s="138">
        <v>7.44</v>
      </c>
      <c r="AR53" s="138">
        <v>4.0999999999999996</v>
      </c>
      <c r="AS53" s="138">
        <v>2.29</v>
      </c>
      <c r="AT53" s="138">
        <v>1.47</v>
      </c>
      <c r="AU53" s="138">
        <v>1</v>
      </c>
      <c r="AV53" s="138">
        <v>7.09</v>
      </c>
      <c r="AW53" s="146">
        <v>1</v>
      </c>
    </row>
    <row r="54" spans="1:49" ht="15" customHeight="1" x14ac:dyDescent="0.25">
      <c r="A54" s="278"/>
      <c r="B54" s="56" t="s">
        <v>31</v>
      </c>
      <c r="C54" s="42">
        <f>(IF(V7=99999,0,V7))*(IF(X11=99999,0,X11))*K16*V13*X13*Z8*AA7</f>
        <v>46.620756</v>
      </c>
      <c r="D54" s="42">
        <f>(IF(V8=99999,0,V8))*(IF(X11=99999,0,X11))*K16*V13*X13*Z8*AA7</f>
        <v>21.645351000000002</v>
      </c>
      <c r="E54" s="42">
        <f>(IF(V9=99999,0,V9))*(IF(X11=99999,0,X11))*K16*V13*X13*Z8*AA7</f>
        <v>11.655189</v>
      </c>
      <c r="F54" s="42">
        <f>(IF(V10=99999,0,V10))*(IF(X11=99999,0,X11))*K16*V13*X13*Z8*AA7</f>
        <v>8.3251349999999995</v>
      </c>
      <c r="G54" s="42">
        <f>(IF(V11=99999,0,V11))*(IF(X11=99999,0,X11))*K16*V13*X13*Z8*AA7</f>
        <v>0</v>
      </c>
      <c r="H54" s="79">
        <f>(IF(V12=99999,0,V12))*(IF(X11=99999,0,X11))*K16*V13*X13*Z8*AA7</f>
        <v>50.783323499999995</v>
      </c>
      <c r="I54" s="79"/>
      <c r="N54" s="53"/>
      <c r="T54" s="53"/>
      <c r="AF54" s="125" t="s">
        <v>14</v>
      </c>
      <c r="AG54" s="137">
        <v>3.1150000000000002</v>
      </c>
      <c r="AH54" s="137">
        <v>1.772</v>
      </c>
      <c r="AI54" s="137">
        <v>1</v>
      </c>
      <c r="AJ54" s="137">
        <v>99999</v>
      </c>
      <c r="AK54" s="137">
        <v>99999</v>
      </c>
      <c r="AL54" s="138">
        <v>3.738</v>
      </c>
      <c r="AM54" s="146">
        <v>1</v>
      </c>
      <c r="AP54" s="125" t="s">
        <v>14</v>
      </c>
      <c r="AQ54" s="137">
        <v>3.1150000000000002</v>
      </c>
      <c r="AR54" s="137">
        <v>1.772</v>
      </c>
      <c r="AS54" s="137">
        <v>1</v>
      </c>
      <c r="AT54" s="137">
        <v>99999</v>
      </c>
      <c r="AU54" s="137">
        <v>99999</v>
      </c>
      <c r="AV54" s="138">
        <v>3.738</v>
      </c>
      <c r="AW54" s="146">
        <v>1</v>
      </c>
    </row>
    <row r="55" spans="1:49" ht="15.75" thickBot="1" x14ac:dyDescent="0.3">
      <c r="A55" s="278"/>
      <c r="B55" s="56" t="s">
        <v>32</v>
      </c>
      <c r="C55" s="80">
        <f>(IF(V7=99999,0,V7))*(IF(X12=99999,0,X12))*K16*V13*X13*Z8*AA7</f>
        <v>269.90963999999997</v>
      </c>
      <c r="D55" s="80">
        <f>(IF(V8=99999,0,V8))*(IF(X12=99999,0,X12))*K16*V13*X13*Z8*AA7</f>
        <v>125.31519</v>
      </c>
      <c r="E55" s="80">
        <f>(IF(V9=99999,0,V9))*(IF(X12=99999,0,X12))*K16*V13*X13*Z8*AA7</f>
        <v>67.477409999999992</v>
      </c>
      <c r="F55" s="80">
        <f>(IF(V10=99999,0,V10))*(IF(X12=99999,0,X12))*K16*V13*X13*Z8*AA7</f>
        <v>48.198149999999998</v>
      </c>
      <c r="G55" s="80">
        <f>(IF(V11=99999,0,V11))*(IF(X12=99999,0,X12))*K16*V13*X13*Z8*AA7</f>
        <v>0</v>
      </c>
      <c r="H55" s="79">
        <f>(IF(V12=99999,0,V12))*(IF(X12=99999,0,X12))*K16*V13*X13*Z8*AA7</f>
        <v>294.008715</v>
      </c>
      <c r="I55" s="79"/>
      <c r="N55" s="53"/>
      <c r="T55" s="53"/>
      <c r="AF55" s="130" t="s">
        <v>15</v>
      </c>
      <c r="AG55" s="147">
        <v>3.7530000000000001</v>
      </c>
      <c r="AH55" s="147">
        <v>2.3719999999999999</v>
      </c>
      <c r="AI55" s="147">
        <v>1.482</v>
      </c>
      <c r="AJ55" s="147">
        <v>1</v>
      </c>
      <c r="AK55" s="148">
        <v>99999</v>
      </c>
      <c r="AL55" s="147">
        <v>3.7530000000000001</v>
      </c>
      <c r="AM55" s="152">
        <v>1</v>
      </c>
      <c r="AP55" s="130" t="s">
        <v>15</v>
      </c>
      <c r="AQ55" s="147">
        <v>3.7530000000000001</v>
      </c>
      <c r="AR55" s="147">
        <v>2.3719999999999999</v>
      </c>
      <c r="AS55" s="147">
        <v>1.482</v>
      </c>
      <c r="AT55" s="147">
        <v>1</v>
      </c>
      <c r="AU55" s="148">
        <v>99999</v>
      </c>
      <c r="AV55" s="147">
        <v>3.7530000000000001</v>
      </c>
      <c r="AW55" s="152">
        <v>1</v>
      </c>
    </row>
    <row r="56" spans="1:49" x14ac:dyDescent="0.25">
      <c r="A56" s="88"/>
      <c r="N56" s="53"/>
      <c r="T56" s="53"/>
    </row>
    <row r="57" spans="1:49" ht="16.5" thickBot="1" x14ac:dyDescent="0.3">
      <c r="A57" s="88"/>
      <c r="B57" s="266" t="s">
        <v>138</v>
      </c>
      <c r="C57" s="266"/>
      <c r="D57" s="266"/>
      <c r="E57" s="266"/>
      <c r="F57" s="76">
        <f>AC8</f>
        <v>900</v>
      </c>
      <c r="G57" s="76" t="s">
        <v>131</v>
      </c>
      <c r="H57" s="77" t="s">
        <v>133</v>
      </c>
      <c r="I57" s="246"/>
      <c r="N57" s="53"/>
      <c r="T57" s="53"/>
    </row>
    <row r="58" spans="1:49" ht="15" customHeight="1" thickBot="1" x14ac:dyDescent="0.3">
      <c r="A58" s="88"/>
      <c r="B58" s="14"/>
      <c r="C58" s="274" t="s">
        <v>103</v>
      </c>
      <c r="D58" s="274"/>
      <c r="E58" s="274"/>
      <c r="F58" s="274"/>
      <c r="G58" s="274"/>
      <c r="H58" s="274"/>
      <c r="I58" s="199"/>
      <c r="N58" s="53"/>
      <c r="T58" s="53"/>
      <c r="AF58" s="252" t="s">
        <v>49</v>
      </c>
      <c r="AG58" s="253"/>
      <c r="AI58" s="252" t="s">
        <v>52</v>
      </c>
      <c r="AJ58" s="253"/>
      <c r="AL58" s="252" t="s">
        <v>63</v>
      </c>
      <c r="AM58" s="253"/>
      <c r="AP58" s="252" t="s">
        <v>117</v>
      </c>
      <c r="AQ58" s="275"/>
      <c r="AR58" s="253"/>
    </row>
    <row r="59" spans="1:49" x14ac:dyDescent="0.25">
      <c r="A59" s="88"/>
      <c r="B59" s="59" t="s">
        <v>105</v>
      </c>
      <c r="C59" s="37" t="s">
        <v>27</v>
      </c>
      <c r="D59" s="37" t="s">
        <v>28</v>
      </c>
      <c r="E59" s="37" t="s">
        <v>29</v>
      </c>
      <c r="F59" s="37" t="s">
        <v>30</v>
      </c>
      <c r="G59" s="37" t="s">
        <v>31</v>
      </c>
      <c r="H59" s="37" t="s">
        <v>32</v>
      </c>
      <c r="I59" s="208"/>
      <c r="N59" s="53"/>
      <c r="T59" s="53"/>
      <c r="AF59" s="50" t="s">
        <v>264</v>
      </c>
      <c r="AG59" s="67" t="s">
        <v>47</v>
      </c>
      <c r="AI59" s="50" t="s">
        <v>53</v>
      </c>
      <c r="AJ59" s="67" t="s">
        <v>54</v>
      </c>
      <c r="AL59" s="17"/>
      <c r="AM59" s="13"/>
      <c r="AP59" s="50" t="s">
        <v>245</v>
      </c>
      <c r="AQ59" s="51" t="s">
        <v>118</v>
      </c>
      <c r="AR59" s="67" t="s">
        <v>119</v>
      </c>
    </row>
    <row r="60" spans="1:49" ht="15" customHeight="1" thickBot="1" x14ac:dyDescent="0.3">
      <c r="A60" s="278" t="s">
        <v>125</v>
      </c>
      <c r="B60" s="56" t="s">
        <v>27</v>
      </c>
      <c r="C60" s="58">
        <f>($AD$8/C40)*$K$22*3.59999712</f>
        <v>0.23733480545122235</v>
      </c>
      <c r="D60" s="58">
        <f>($AD$8/D40)*$K$22*3.59999712</f>
        <v>0.51118265789494033</v>
      </c>
      <c r="E60" s="58">
        <f>IF(E40=0,"-",($AD$8/E40)*$K$22*3.59999712)</f>
        <v>0.94933922180488939</v>
      </c>
      <c r="F60" s="58">
        <f>IF(F40=0,"-",($AD$8/F40)*$K$22*3.59999712)</f>
        <v>1.3290749105268449</v>
      </c>
      <c r="G60" s="58" t="str">
        <f>IF(G40=0,"-",($AD$8/G40)*$K$22*3.59999712)</f>
        <v>-</v>
      </c>
      <c r="H60" s="81">
        <f>IF(H40=0,"-",($AD$8/H40)*$K$22*3.59999712)</f>
        <v>0.21788113287325325</v>
      </c>
      <c r="I60" s="81"/>
      <c r="N60" s="53"/>
      <c r="T60" s="53"/>
      <c r="AF60" s="16"/>
      <c r="AG60" s="13"/>
      <c r="AI60" s="4"/>
      <c r="AJ60" s="6"/>
      <c r="AL60" s="16">
        <v>500</v>
      </c>
      <c r="AM60" s="13">
        <v>500</v>
      </c>
      <c r="AP60" s="4"/>
      <c r="AQ60" s="5"/>
      <c r="AR60" s="6"/>
    </row>
    <row r="61" spans="1:49" x14ac:dyDescent="0.25">
      <c r="A61" s="278"/>
      <c r="B61" s="56" t="s">
        <v>28</v>
      </c>
      <c r="C61" s="58">
        <f>($AD$8/C41)*$K$22*3.59999712</f>
        <v>0.39678590534417219</v>
      </c>
      <c r="D61" s="58">
        <f>($AD$8/D41)*$K$22*3.59999712</f>
        <v>0.85461579612590921</v>
      </c>
      <c r="E61" s="58">
        <f>IF(E41=0,"-",($AD$8/E41)*$K$22*3.59999712)</f>
        <v>1.5871436213766887</v>
      </c>
      <c r="F61" s="58">
        <f>IF(F41=0,"-",($AD$8/F41)*$K$22*3.59999712)</f>
        <v>2.222001069927364</v>
      </c>
      <c r="G61" s="58" t="str">
        <f>IF(G41=0,"-",($AD$8/G41)*$K$22*3.59999712)</f>
        <v>-</v>
      </c>
      <c r="H61" s="81">
        <f>IF(H41=0,"-",($AD$8/H41)*$K$22*3.59999712)</f>
        <v>0.36426247047989574</v>
      </c>
      <c r="I61" s="81"/>
      <c r="N61" s="53"/>
      <c r="T61" s="53"/>
      <c r="AF61" s="128" t="s">
        <v>48</v>
      </c>
      <c r="AG61" s="129">
        <f>Q29</f>
        <v>14.2</v>
      </c>
      <c r="AI61" s="16" t="s">
        <v>90</v>
      </c>
      <c r="AJ61" s="66">
        <f>Q32</f>
        <v>1.9320794819577227</v>
      </c>
      <c r="AL61" s="16">
        <v>600</v>
      </c>
      <c r="AM61" s="13">
        <v>600</v>
      </c>
      <c r="AP61" s="7" t="s">
        <v>33</v>
      </c>
      <c r="AQ61" s="8">
        <v>1</v>
      </c>
      <c r="AR61" s="10">
        <v>1</v>
      </c>
    </row>
    <row r="62" spans="1:49" x14ac:dyDescent="0.25">
      <c r="A62" s="278"/>
      <c r="B62" s="56" t="s">
        <v>29</v>
      </c>
      <c r="C62" s="58">
        <f>IF(C42=0,"-",($AD$8/C42)*$K$22*3.59999712)</f>
        <v>0.64139943838789126</v>
      </c>
      <c r="D62" s="58">
        <f>IF(D42=0,"-",($AD$8/D42)*$K$22*3.59999712)</f>
        <v>1.3814757134508424</v>
      </c>
      <c r="E62" s="58">
        <f>IF(E42=0,"-",($AD$8/E42)*$K$22*3.59999712)</f>
        <v>2.5655977535515651</v>
      </c>
      <c r="F62" s="58">
        <f>IF(F42=0,"-",($AD$8/F42)*$K$22*3.59999712)</f>
        <v>3.5918368549721893</v>
      </c>
      <c r="G62" s="58" t="str">
        <f>IF(G42=0,"-",($AD$8/G42)*$K$22*3.59999712)</f>
        <v>-</v>
      </c>
      <c r="H62" s="81">
        <f>IF(H42=0,"-",($AD$8/H42)*$K$22*3.59999712)</f>
        <v>0.58882571392986738</v>
      </c>
      <c r="I62" s="81"/>
      <c r="N62" s="53"/>
      <c r="T62" s="53"/>
      <c r="AF62" s="125" t="s">
        <v>39</v>
      </c>
      <c r="AG62" s="131">
        <v>5.15</v>
      </c>
      <c r="AI62" s="191" t="s">
        <v>261</v>
      </c>
      <c r="AJ62" s="194">
        <v>1.25</v>
      </c>
      <c r="AL62" s="16">
        <v>700</v>
      </c>
      <c r="AM62" s="13">
        <v>700</v>
      </c>
      <c r="AP62" s="11" t="s">
        <v>25</v>
      </c>
      <c r="AQ62" s="9">
        <f>Q25</f>
        <v>2.2000000000000002</v>
      </c>
      <c r="AR62" s="12">
        <f>Q26</f>
        <v>1</v>
      </c>
    </row>
    <row r="63" spans="1:49" x14ac:dyDescent="0.25">
      <c r="A63" s="278"/>
      <c r="B63" s="56" t="s">
        <v>30</v>
      </c>
      <c r="C63" s="58">
        <f>IF(C43=0,"-",($AD$8/C43)*$K$22*3.59999712)</f>
        <v>0.98867648237691497</v>
      </c>
      <c r="D63" s="58">
        <f>IF(D43=0,"-",($AD$8/D43)*$K$22*3.59999712)</f>
        <v>2.1294570389656635</v>
      </c>
      <c r="E63" s="58">
        <f>IF(E43=0,"-",($AD$8/E43)*$K$22*3.59999712)</f>
        <v>3.9547059295076599</v>
      </c>
      <c r="F63" s="58">
        <f>IF(F43=0,"-",($AD$8/F43)*$K$22*3.59999712)</f>
        <v>5.5365883013107231</v>
      </c>
      <c r="G63" s="58" t="str">
        <f>IF(G43=0,"-",($AD$8/G43)*$K$22*3.59999712)</f>
        <v>-</v>
      </c>
      <c r="H63" s="81">
        <f>IF(H43=0,"-",($AD$8/H43)*$K$22*3.59999712)</f>
        <v>0.90763742644438095</v>
      </c>
      <c r="I63" s="81"/>
      <c r="N63" s="53"/>
      <c r="T63" s="53"/>
      <c r="AF63" s="125" t="s">
        <v>16</v>
      </c>
      <c r="AG63" s="132">
        <v>4.57</v>
      </c>
      <c r="AI63" s="117" t="s">
        <v>180</v>
      </c>
      <c r="AJ63" s="192">
        <v>1.37</v>
      </c>
      <c r="AL63" s="16">
        <v>800</v>
      </c>
      <c r="AM63" s="13">
        <v>800</v>
      </c>
      <c r="AP63" s="125" t="s">
        <v>121</v>
      </c>
      <c r="AQ63" s="138">
        <v>2.2494000000000001</v>
      </c>
      <c r="AR63" s="126">
        <v>1.0476000000000001</v>
      </c>
    </row>
    <row r="64" spans="1:49" ht="15" customHeight="1" x14ac:dyDescent="0.25">
      <c r="A64" s="278"/>
      <c r="B64" s="56" t="s">
        <v>31</v>
      </c>
      <c r="C64" s="58">
        <f>IF(C44=0,"-",($AD$8/C44)*$K$22*3.59999712)</f>
        <v>1.3454920549640725</v>
      </c>
      <c r="D64" s="58">
        <f>IF(D44=0,"-",($AD$8/D44)*$K$22*3.59999712)</f>
        <v>2.897982887614925</v>
      </c>
      <c r="E64" s="58">
        <f>IF(E44=0,"-",($AD$8/E44)*$K$22*3.59999712)</f>
        <v>5.3819682198562901</v>
      </c>
      <c r="F64" s="58">
        <f>IF(F44=0,"-",($AD$8/F44)*$K$22*3.59999712)</f>
        <v>7.5347555077988053</v>
      </c>
      <c r="G64" s="58" t="str">
        <f>IF(G44=0,"-",($AD$8/G44)*$K$22*3.59999712)</f>
        <v>-</v>
      </c>
      <c r="H64" s="81">
        <f>IF(H44=0,"-",($AD$8/H44)*$K$22*3.59999712)</f>
        <v>1.235205820950624</v>
      </c>
      <c r="I64" s="81"/>
      <c r="N64" s="53"/>
      <c r="T64" s="53"/>
      <c r="AF64" s="125" t="s">
        <v>17</v>
      </c>
      <c r="AG64" s="131">
        <v>4.7140000000000004</v>
      </c>
      <c r="AI64" s="117" t="s">
        <v>181</v>
      </c>
      <c r="AJ64" s="192">
        <v>1.52</v>
      </c>
      <c r="AL64" s="16">
        <v>900</v>
      </c>
      <c r="AM64" s="13">
        <v>900</v>
      </c>
      <c r="AP64" s="125" t="s">
        <v>122</v>
      </c>
      <c r="AQ64" s="138">
        <v>2.1269999999999998</v>
      </c>
      <c r="AR64" s="127">
        <v>1</v>
      </c>
    </row>
    <row r="65" spans="1:44" x14ac:dyDescent="0.25">
      <c r="A65" s="278"/>
      <c r="B65" s="56" t="s">
        <v>32</v>
      </c>
      <c r="C65" s="81">
        <f>IF(C45=0,"-",($AD$8/C45)*$K$22*3.59999712)</f>
        <v>0.23240317313015799</v>
      </c>
      <c r="D65" s="81">
        <f>IF(D45=0,"-",($AD$8/D45)*$K$22*3.59999712)</f>
        <v>0.50056068058803249</v>
      </c>
      <c r="E65" s="81">
        <f>IF(E45=0,"-",($AD$8/E45)*$K$22*3.59999712)</f>
        <v>0.92961269252063194</v>
      </c>
      <c r="F65" s="81">
        <f>IF(F45=0,"-",($AD$8/F45)*$K$22*3.59999712)</f>
        <v>1.3014577695288847</v>
      </c>
      <c r="G65" s="81" t="str">
        <f>IF(G45=0,"-",($AD$8/G45)*$K$22*3.59999712)</f>
        <v>-</v>
      </c>
      <c r="H65" s="81">
        <f>IF(H45=0,"-",($AD$8/H45)*$K$22*3.59999712)</f>
        <v>0.21335373270965319</v>
      </c>
      <c r="I65" s="81"/>
      <c r="N65" s="53"/>
      <c r="T65" s="53"/>
      <c r="AF65" s="124" t="s">
        <v>183</v>
      </c>
      <c r="AG65" s="133">
        <v>5.57</v>
      </c>
      <c r="AI65" s="117" t="s">
        <v>55</v>
      </c>
      <c r="AJ65" s="193">
        <v>1.7050000000000001</v>
      </c>
      <c r="AL65" s="16">
        <v>1000</v>
      </c>
      <c r="AM65" s="13">
        <v>1000</v>
      </c>
      <c r="AP65" s="125" t="s">
        <v>120</v>
      </c>
      <c r="AQ65" s="138">
        <v>2.78</v>
      </c>
      <c r="AR65" s="126">
        <v>1.1499999999999999</v>
      </c>
    </row>
    <row r="66" spans="1:44" x14ac:dyDescent="0.25">
      <c r="A66" s="88"/>
      <c r="N66" s="53"/>
      <c r="T66" s="53"/>
      <c r="AF66" s="124" t="s">
        <v>184</v>
      </c>
      <c r="AG66" s="136">
        <v>5.38</v>
      </c>
      <c r="AI66" s="117" t="s">
        <v>113</v>
      </c>
      <c r="AJ66" s="192">
        <v>1.81</v>
      </c>
      <c r="AL66" s="16">
        <v>1100</v>
      </c>
      <c r="AM66" s="13">
        <v>1100</v>
      </c>
      <c r="AP66" s="124" t="s">
        <v>213</v>
      </c>
      <c r="AQ66" s="14">
        <v>1.64</v>
      </c>
      <c r="AR66" s="153">
        <v>1</v>
      </c>
    </row>
    <row r="67" spans="1:44" ht="16.5" thickBot="1" x14ac:dyDescent="0.3">
      <c r="A67" s="88"/>
      <c r="B67" s="266" t="s">
        <v>138</v>
      </c>
      <c r="C67" s="266"/>
      <c r="D67" s="266"/>
      <c r="E67" s="266"/>
      <c r="F67" s="76">
        <f>AC8</f>
        <v>900</v>
      </c>
      <c r="G67" s="76" t="s">
        <v>131</v>
      </c>
      <c r="H67" s="77" t="s">
        <v>134</v>
      </c>
      <c r="I67" s="246"/>
      <c r="N67" s="53"/>
      <c r="T67" s="53"/>
      <c r="AF67" s="124" t="s">
        <v>185</v>
      </c>
      <c r="AG67" s="136">
        <v>4.5599999999999996</v>
      </c>
      <c r="AI67" s="191" t="s">
        <v>262</v>
      </c>
      <c r="AJ67" s="194">
        <v>1.83</v>
      </c>
      <c r="AL67" s="16">
        <v>1200</v>
      </c>
      <c r="AM67" s="13">
        <v>1200</v>
      </c>
      <c r="AP67" s="124" t="s">
        <v>229</v>
      </c>
      <c r="AQ67" s="14">
        <v>2.14</v>
      </c>
      <c r="AR67" s="153">
        <v>1</v>
      </c>
    </row>
    <row r="68" spans="1:44" ht="15" customHeight="1" x14ac:dyDescent="0.25">
      <c r="A68" s="88"/>
      <c r="B68" s="14"/>
      <c r="C68" s="274" t="s">
        <v>103</v>
      </c>
      <c r="D68" s="274"/>
      <c r="E68" s="274"/>
      <c r="F68" s="274"/>
      <c r="G68" s="274"/>
      <c r="H68" s="274"/>
      <c r="I68" s="199"/>
      <c r="N68" s="53"/>
      <c r="T68" s="53"/>
      <c r="AF68" s="124" t="s">
        <v>186</v>
      </c>
      <c r="AG68" s="136">
        <v>6.6</v>
      </c>
      <c r="AI68" s="114" t="s">
        <v>56</v>
      </c>
      <c r="AJ68" s="193">
        <v>2.04</v>
      </c>
      <c r="AL68" s="16">
        <v>1300</v>
      </c>
      <c r="AM68" s="13">
        <v>1300</v>
      </c>
      <c r="AP68" s="125" t="s">
        <v>10</v>
      </c>
      <c r="AQ68" s="138">
        <v>2.15</v>
      </c>
      <c r="AR68" s="126">
        <v>0.75</v>
      </c>
    </row>
    <row r="69" spans="1:44" x14ac:dyDescent="0.25">
      <c r="A69" s="88"/>
      <c r="B69" s="59" t="s">
        <v>105</v>
      </c>
      <c r="C69" s="37" t="s">
        <v>27</v>
      </c>
      <c r="D69" s="37" t="s">
        <v>28</v>
      </c>
      <c r="E69" s="37" t="s">
        <v>29</v>
      </c>
      <c r="F69" s="37" t="s">
        <v>30</v>
      </c>
      <c r="G69" s="37" t="s">
        <v>31</v>
      </c>
      <c r="H69" s="37" t="s">
        <v>32</v>
      </c>
      <c r="I69" s="208"/>
      <c r="N69" s="53"/>
      <c r="T69" s="53"/>
      <c r="AF69" s="124" t="s">
        <v>197</v>
      </c>
      <c r="AG69" s="136">
        <v>6.17</v>
      </c>
      <c r="AI69" s="114" t="s">
        <v>57</v>
      </c>
      <c r="AJ69" s="194">
        <v>2.16</v>
      </c>
      <c r="AL69" s="16">
        <v>1400</v>
      </c>
      <c r="AM69" s="13">
        <v>1400</v>
      </c>
      <c r="AP69" s="125" t="s">
        <v>123</v>
      </c>
      <c r="AQ69" s="140">
        <v>1.8</v>
      </c>
      <c r="AR69" s="127">
        <v>1</v>
      </c>
    </row>
    <row r="70" spans="1:44" ht="15" customHeight="1" x14ac:dyDescent="0.25">
      <c r="A70" s="278" t="s">
        <v>125</v>
      </c>
      <c r="B70" s="56" t="s">
        <v>27</v>
      </c>
      <c r="C70" s="58">
        <f>($AD$8/C50)*$K$22*3.59999712</f>
        <v>0.68035977562683725</v>
      </c>
      <c r="D70" s="58">
        <f>($AD$8/D50)*$K$22*3.59999712</f>
        <v>1.4653902859654957</v>
      </c>
      <c r="E70" s="58">
        <f>IF(E50=0,"-",($AD$8/E50)*$K$22*3.59999712)</f>
        <v>2.721439102507349</v>
      </c>
      <c r="F70" s="58">
        <f>IF(F50=0,"-",($AD$8/F50)*$K$22*3.59999712)</f>
        <v>3.8100147435102882</v>
      </c>
      <c r="G70" s="58" t="str">
        <f>IF(G50=0,"-",($AD$8/G50)*$K$22*3.59999712)</f>
        <v>-</v>
      </c>
      <c r="H70" s="81">
        <f>IF(H50=0,"-",($AD$8/H50)*$K$22*3.59999712)</f>
        <v>0.62459258090332592</v>
      </c>
      <c r="I70" s="81"/>
      <c r="N70" s="53"/>
      <c r="T70" s="53"/>
      <c r="AF70" s="125" t="s">
        <v>41</v>
      </c>
      <c r="AG70" s="134">
        <v>3.64</v>
      </c>
      <c r="AI70" s="191" t="s">
        <v>259</v>
      </c>
      <c r="AJ70" s="194">
        <v>2.2949999999999999</v>
      </c>
      <c r="AL70" s="16">
        <v>1500</v>
      </c>
      <c r="AM70" s="13">
        <v>1500</v>
      </c>
      <c r="AP70" s="124" t="s">
        <v>230</v>
      </c>
      <c r="AQ70" s="14">
        <v>2.71</v>
      </c>
      <c r="AR70" s="13">
        <v>1.59</v>
      </c>
    </row>
    <row r="71" spans="1:44" x14ac:dyDescent="0.25">
      <c r="A71" s="278"/>
      <c r="B71" s="56" t="s">
        <v>28</v>
      </c>
      <c r="C71" s="58">
        <f>($AD$8/C51)*$K$22*3.59999712</f>
        <v>1.1374529286532935</v>
      </c>
      <c r="D71" s="58">
        <f>($AD$8/D51)*$K$22*3.59999712</f>
        <v>2.4498986155609397</v>
      </c>
      <c r="E71" s="58">
        <f>IF(E51=0,"-",($AD$8/E51)*$K$22*3.59999712)</f>
        <v>4.549811714613174</v>
      </c>
      <c r="F71" s="58">
        <f>IF(F51=0,"-",($AD$8/F51)*$K$22*3.59999712)</f>
        <v>6.3697364004584429</v>
      </c>
      <c r="G71" s="58" t="str">
        <f>IF(G51=0,"-",($AD$8/G51)*$K$22*3.59999712)</f>
        <v>-</v>
      </c>
      <c r="H71" s="81">
        <f>IF(H51=0,"-",($AD$8/H51)*$K$22*3.59999712)</f>
        <v>1.0442190820423678</v>
      </c>
      <c r="I71" s="81"/>
      <c r="N71" s="53"/>
      <c r="T71" s="53"/>
      <c r="AF71" s="125" t="s">
        <v>42</v>
      </c>
      <c r="AG71" s="134">
        <v>3.46</v>
      </c>
      <c r="AI71" s="114" t="s">
        <v>58</v>
      </c>
      <c r="AJ71" s="193">
        <v>2.34</v>
      </c>
      <c r="AL71" s="16">
        <v>1600</v>
      </c>
      <c r="AM71" s="13">
        <v>1600</v>
      </c>
      <c r="AP71" s="124" t="s">
        <v>193</v>
      </c>
      <c r="AQ71" s="14">
        <v>2.2679999999999998</v>
      </c>
      <c r="AR71" s="13">
        <v>1.409</v>
      </c>
    </row>
    <row r="72" spans="1:44" x14ac:dyDescent="0.25">
      <c r="A72" s="278"/>
      <c r="B72" s="56" t="s">
        <v>29</v>
      </c>
      <c r="C72" s="58">
        <f>IF(C52=0,"-",($AD$8/C52)*$K$22*3.59999712)</f>
        <v>1.8386783900452879</v>
      </c>
      <c r="D72" s="58">
        <f>IF(D52=0,"-",($AD$8/D52)*$K$22*3.59999712)</f>
        <v>3.9602303785590811</v>
      </c>
      <c r="E72" s="58">
        <f>IF(E52=0,"-",($AD$8/E52)*$K$22*3.59999712)</f>
        <v>7.3547135601811515</v>
      </c>
      <c r="F72" s="58">
        <f>IF(F52=0,"-",($AD$8/F52)*$K$22*3.59999712)</f>
        <v>10.296598984253611</v>
      </c>
      <c r="G72" s="58" t="str">
        <f>IF(G52=0,"-",($AD$8/G52)*$K$22*3.59999712)</f>
        <v>-</v>
      </c>
      <c r="H72" s="81">
        <f>IF(H52=0,"-",($AD$8/H52)*$K$22*3.59999712)</f>
        <v>1.6879670465989527</v>
      </c>
      <c r="I72" s="81"/>
      <c r="N72" s="53"/>
      <c r="T72" s="53"/>
      <c r="AF72" s="124" t="s">
        <v>187</v>
      </c>
      <c r="AG72" s="136">
        <v>5.1660000000000004</v>
      </c>
      <c r="AI72" s="114" t="s">
        <v>59</v>
      </c>
      <c r="AJ72" s="193">
        <v>2.36</v>
      </c>
      <c r="AL72" s="16">
        <v>1700</v>
      </c>
      <c r="AM72" s="13">
        <v>1700</v>
      </c>
      <c r="AP72" s="125" t="s">
        <v>21</v>
      </c>
      <c r="AQ72" s="140">
        <v>2.4500000000000002</v>
      </c>
      <c r="AR72" s="154">
        <v>1.157</v>
      </c>
    </row>
    <row r="73" spans="1:44" x14ac:dyDescent="0.25">
      <c r="A73" s="278"/>
      <c r="B73" s="56" t="s">
        <v>30</v>
      </c>
      <c r="C73" s="58">
        <f>IF(C53=0,"-",($AD$8/C53)*$K$22*3.59999712)</f>
        <v>2.8342059161471562</v>
      </c>
      <c r="D73" s="58">
        <f>IF(D53=0,"-",($AD$8/D53)*$K$22*3.59999712)</f>
        <v>6.1044435117015663</v>
      </c>
      <c r="E73" s="58">
        <f>IF(E53=0,"-",($AD$8/E53)*$K$22*3.59999712)</f>
        <v>11.336823664588625</v>
      </c>
      <c r="F73" s="58">
        <f>IF(F53=0,"-",($AD$8/F53)*$K$22*3.59999712)</f>
        <v>15.871553130424072</v>
      </c>
      <c r="G73" s="58" t="str">
        <f>IF(G53=0,"-",($AD$8/G53)*$K$22*3.59999712)</f>
        <v>-</v>
      </c>
      <c r="H73" s="81">
        <f>IF(H53=0,"-",($AD$8/H53)*$K$22*3.59999712)</f>
        <v>2.6018939558072249</v>
      </c>
      <c r="I73" s="81"/>
      <c r="N73" s="53"/>
      <c r="T73" s="53"/>
      <c r="AF73" s="125" t="s">
        <v>36</v>
      </c>
      <c r="AG73" s="131">
        <v>6.83</v>
      </c>
      <c r="AI73" s="118" t="s">
        <v>61</v>
      </c>
      <c r="AJ73" s="192">
        <v>2.5</v>
      </c>
      <c r="AL73" s="16">
        <v>1800</v>
      </c>
      <c r="AM73" s="13">
        <v>1800</v>
      </c>
      <c r="AP73" s="124" t="s">
        <v>231</v>
      </c>
      <c r="AQ73" s="14">
        <v>1.94</v>
      </c>
      <c r="AR73" s="153">
        <v>1</v>
      </c>
    </row>
    <row r="74" spans="1:44" ht="16.5" customHeight="1" thickBot="1" x14ac:dyDescent="0.3">
      <c r="A74" s="278"/>
      <c r="B74" s="56" t="s">
        <v>31</v>
      </c>
      <c r="C74" s="58">
        <f>IF(C54=0,"-",($AD$8/C54)*$K$22*3.59999712)</f>
        <v>3.8570772242303408</v>
      </c>
      <c r="D74" s="58">
        <f>IF(D54=0,"-",($AD$8/D54)*$K$22*3.59999712)</f>
        <v>8.3075509444961178</v>
      </c>
      <c r="E74" s="58">
        <f>IF(E54=0,"-",($AD$8/E54)*$K$22*3.59999712)</f>
        <v>15.428308896921363</v>
      </c>
      <c r="F74" s="58">
        <f>IF(F54=0,"-",($AD$8/F54)*$K$22*3.59999712)</f>
        <v>21.59963245568991</v>
      </c>
      <c r="G74" s="58" t="str">
        <f>IF(G54=0,"-",($AD$8/G54)*$K$22*3.59999712)</f>
        <v>-</v>
      </c>
      <c r="H74" s="81">
        <f>IF(H54=0,"-",($AD$8/H54)*$K$22*3.59999712)</f>
        <v>3.540923353391789</v>
      </c>
      <c r="I74" s="81"/>
      <c r="N74" s="53"/>
      <c r="T74" s="53"/>
      <c r="AF74" s="125" t="s">
        <v>9</v>
      </c>
      <c r="AG74" s="134">
        <v>5.125</v>
      </c>
      <c r="AI74" s="191" t="s">
        <v>260</v>
      </c>
      <c r="AJ74" s="194">
        <v>2.5499999999999998</v>
      </c>
      <c r="AL74" s="16">
        <v>1900</v>
      </c>
      <c r="AM74" s="13">
        <v>1900</v>
      </c>
      <c r="AP74" s="155" t="s">
        <v>232</v>
      </c>
      <c r="AQ74" s="156">
        <v>2.27</v>
      </c>
      <c r="AR74" s="19">
        <v>1.1599999999999999</v>
      </c>
    </row>
    <row r="75" spans="1:44" ht="15" customHeight="1" x14ac:dyDescent="0.25">
      <c r="A75" s="278"/>
      <c r="B75" s="56" t="s">
        <v>32</v>
      </c>
      <c r="C75" s="81">
        <f>IF(C55=0,"-",($AD$8/C55)*$K$22*3.59999712)</f>
        <v>0.66622242963978606</v>
      </c>
      <c r="D75" s="81">
        <f>IF(D55=0,"-",($AD$8/D55)*$K$22*3.59999712)</f>
        <v>1.4349406176856931</v>
      </c>
      <c r="E75" s="81">
        <f>IF(E55=0,"-",($AD$8/E55)*$K$22*3.59999712)</f>
        <v>2.6648897185591442</v>
      </c>
      <c r="F75" s="81">
        <f>IF(F55=0,"-",($AD$8/F55)*$K$22*3.59999712)</f>
        <v>3.7308456059828026</v>
      </c>
      <c r="G75" s="81" t="str">
        <f>IF(G55=0,"-",($AD$8/G55)*$K$22*3.59999712)</f>
        <v>-</v>
      </c>
      <c r="H75" s="81">
        <f>IF(H55=0,"-",($AD$8/H55)*$K$22*3.59999712)</f>
        <v>0.61161403376767254</v>
      </c>
      <c r="I75" s="81"/>
      <c r="N75" s="53"/>
      <c r="T75" s="53"/>
      <c r="AF75" s="124" t="s">
        <v>188</v>
      </c>
      <c r="AG75" s="136">
        <v>5.36</v>
      </c>
      <c r="AI75" s="191" t="s">
        <v>263</v>
      </c>
      <c r="AJ75" s="194">
        <v>2.66</v>
      </c>
      <c r="AL75" s="16">
        <v>2000</v>
      </c>
      <c r="AM75" s="13">
        <v>2000</v>
      </c>
    </row>
    <row r="76" spans="1:44" x14ac:dyDescent="0.25">
      <c r="A76" s="88"/>
      <c r="N76" s="53"/>
      <c r="T76" s="53"/>
      <c r="AF76" s="124" t="s">
        <v>189</v>
      </c>
      <c r="AG76" s="136">
        <v>4.6399999999999997</v>
      </c>
      <c r="AI76" s="114" t="s">
        <v>60</v>
      </c>
      <c r="AJ76" s="193">
        <v>2.78</v>
      </c>
      <c r="AL76" s="16">
        <v>2100</v>
      </c>
      <c r="AM76" s="13">
        <v>2100</v>
      </c>
    </row>
    <row r="77" spans="1:44" ht="16.5" thickBot="1" x14ac:dyDescent="0.3">
      <c r="A77" s="88"/>
      <c r="B77" s="266" t="s">
        <v>139</v>
      </c>
      <c r="C77" s="266"/>
      <c r="D77" s="266"/>
      <c r="E77" s="266"/>
      <c r="F77" s="76">
        <f>AC9</f>
        <v>2600</v>
      </c>
      <c r="G77" s="76" t="s">
        <v>131</v>
      </c>
      <c r="H77" s="77" t="s">
        <v>133</v>
      </c>
      <c r="I77" s="246"/>
      <c r="N77" s="53"/>
      <c r="T77" s="53"/>
      <c r="AF77" s="124" t="s">
        <v>190</v>
      </c>
      <c r="AG77" s="136">
        <v>5.36</v>
      </c>
      <c r="AI77" s="114" t="s">
        <v>238</v>
      </c>
      <c r="AJ77" s="194">
        <v>3</v>
      </c>
      <c r="AL77" s="16">
        <v>2200</v>
      </c>
      <c r="AM77" s="13">
        <v>2200</v>
      </c>
    </row>
    <row r="78" spans="1:44" ht="15" customHeight="1" x14ac:dyDescent="0.25">
      <c r="A78" s="88"/>
      <c r="B78" s="14"/>
      <c r="C78" s="274" t="s">
        <v>103</v>
      </c>
      <c r="D78" s="274"/>
      <c r="E78" s="274"/>
      <c r="F78" s="274"/>
      <c r="G78" s="274"/>
      <c r="H78" s="274"/>
      <c r="I78" s="199"/>
      <c r="N78" s="53"/>
      <c r="T78" s="53"/>
      <c r="AF78" s="124" t="s">
        <v>191</v>
      </c>
      <c r="AG78" s="136">
        <v>6.7</v>
      </c>
      <c r="AI78" s="114" t="s">
        <v>62</v>
      </c>
      <c r="AJ78" s="194">
        <v>3.3</v>
      </c>
      <c r="AL78" s="16">
        <v>2300</v>
      </c>
      <c r="AM78" s="13">
        <v>2300</v>
      </c>
    </row>
    <row r="79" spans="1:44" x14ac:dyDescent="0.25">
      <c r="A79" s="88"/>
      <c r="B79" s="59" t="s">
        <v>105</v>
      </c>
      <c r="C79" s="37" t="s">
        <v>27</v>
      </c>
      <c r="D79" s="37" t="s">
        <v>28</v>
      </c>
      <c r="E79" s="37" t="s">
        <v>29</v>
      </c>
      <c r="F79" s="37" t="s">
        <v>30</v>
      </c>
      <c r="G79" s="37" t="s">
        <v>31</v>
      </c>
      <c r="H79" s="37" t="s">
        <v>32</v>
      </c>
      <c r="I79" s="208"/>
      <c r="N79" s="53"/>
      <c r="T79" s="53"/>
      <c r="AF79" s="124" t="s">
        <v>199</v>
      </c>
      <c r="AG79" s="136">
        <v>4.0999999999999996</v>
      </c>
      <c r="AI79" s="114" t="s">
        <v>239</v>
      </c>
      <c r="AJ79" s="194">
        <v>3.33</v>
      </c>
      <c r="AL79" s="16">
        <v>2400</v>
      </c>
      <c r="AM79" s="13">
        <v>2400</v>
      </c>
    </row>
    <row r="80" spans="1:44" ht="15" customHeight="1" x14ac:dyDescent="0.25">
      <c r="A80" s="278" t="s">
        <v>136</v>
      </c>
      <c r="B80" s="56" t="s">
        <v>27</v>
      </c>
      <c r="C80" s="58">
        <f>($AD$9/C40)*$K$22*3.59999712</f>
        <v>0.6856338824146424</v>
      </c>
      <c r="D80" s="58">
        <f>($AD$9/D40)*$K$22*3.59999712</f>
        <v>1.4767499005853835</v>
      </c>
      <c r="E80" s="58">
        <f>IF(E40=0,"-",($AD$9/E40)*$K$22*3.59999712)</f>
        <v>2.7425355296585696</v>
      </c>
      <c r="F80" s="58">
        <f>IF(F40=0,"-",($AD$9/F40)*$K$22*3.59999712)</f>
        <v>3.8395497415219957</v>
      </c>
      <c r="G80" s="58" t="str">
        <f>IF(G40=0,"-",($AD$9/G40)*$K$22*3.59999712)</f>
        <v>-</v>
      </c>
      <c r="H80" s="81">
        <f>IF(H40=0,"-",($AD$9/H40)*$K$22*3.59999712)</f>
        <v>0.62943438385606498</v>
      </c>
      <c r="I80" s="81"/>
      <c r="N80" s="53"/>
      <c r="T80" s="53"/>
      <c r="AF80" s="125" t="s">
        <v>45</v>
      </c>
      <c r="AG80" s="134">
        <v>15.5</v>
      </c>
      <c r="AI80" s="114" t="s">
        <v>182</v>
      </c>
      <c r="AJ80" s="194">
        <v>3.4729999999999999</v>
      </c>
      <c r="AL80" s="16">
        <v>2500</v>
      </c>
      <c r="AM80" s="13">
        <v>2500</v>
      </c>
    </row>
    <row r="81" spans="1:39" x14ac:dyDescent="0.25">
      <c r="A81" s="278"/>
      <c r="B81" s="56" t="s">
        <v>28</v>
      </c>
      <c r="C81" s="58">
        <f>($AD$9/C41)*$K$22*3.59999712</f>
        <v>1.1462703932164975</v>
      </c>
      <c r="D81" s="58">
        <f>($AD$9/D41)*$K$22*3.59999712</f>
        <v>2.468890077697071</v>
      </c>
      <c r="E81" s="58">
        <f>IF(E41=0,"-",($AD$9/E41)*$K$22*3.59999712)</f>
        <v>4.5850815728659899</v>
      </c>
      <c r="F81" s="58">
        <f>IF(F41=0,"-",($AD$9/F41)*$K$22*3.59999712)</f>
        <v>6.419114202012385</v>
      </c>
      <c r="G81" s="58" t="str">
        <f>IF(G41=0,"-",($AD$9/G41)*$K$22*3.59999712)</f>
        <v>-</v>
      </c>
      <c r="H81" s="81">
        <f>IF(H41=0,"-",($AD$9/H41)*$K$22*3.59999712)</f>
        <v>1.0523138036085877</v>
      </c>
      <c r="I81" s="81"/>
      <c r="N81" s="53"/>
      <c r="T81" s="53"/>
      <c r="AF81" s="125" t="s">
        <v>46</v>
      </c>
      <c r="AG81" s="131">
        <v>7.5</v>
      </c>
      <c r="AI81" s="191" t="s">
        <v>241</v>
      </c>
      <c r="AJ81" s="194">
        <v>3.5550000000000002</v>
      </c>
      <c r="AL81" s="16">
        <v>2600</v>
      </c>
      <c r="AM81" s="13">
        <v>2600</v>
      </c>
    </row>
    <row r="82" spans="1:39" x14ac:dyDescent="0.25">
      <c r="A82" s="278"/>
      <c r="B82" s="56" t="s">
        <v>29</v>
      </c>
      <c r="C82" s="58">
        <f>IF(C42=0,"-",($AD$9/C42)*$K$22*3.59999712)</f>
        <v>1.8529317108983525</v>
      </c>
      <c r="D82" s="58">
        <f>IF(D42=0,"-",($AD$9/D42)*$K$22*3.59999712)</f>
        <v>3.9909298388579892</v>
      </c>
      <c r="E82" s="58">
        <f>IF(E42=0,"-",($AD$9/E42)*$K$22*3.59999712)</f>
        <v>7.4117268435934101</v>
      </c>
      <c r="F82" s="58">
        <f>IF(F42=0,"-",($AD$9/F42)*$K$22*3.59999712)</f>
        <v>10.376417581030772</v>
      </c>
      <c r="G82" s="58" t="str">
        <f>IF(G42=0,"-",($AD$9/G42)*$K$22*3.59999712)</f>
        <v>-</v>
      </c>
      <c r="H82" s="81">
        <f>IF(H42=0,"-",($AD$9/H42)*$K$22*3.59999712)</f>
        <v>1.7010520624640613</v>
      </c>
      <c r="I82" s="81"/>
      <c r="N82" s="53"/>
      <c r="T82" s="53"/>
      <c r="AF82" s="124" t="s">
        <v>200</v>
      </c>
      <c r="AG82" s="136">
        <v>3.92</v>
      </c>
      <c r="AI82" s="191" t="s">
        <v>242</v>
      </c>
      <c r="AJ82" s="194">
        <v>3.75</v>
      </c>
      <c r="AL82" s="16">
        <v>2700</v>
      </c>
      <c r="AM82" s="13">
        <v>2700</v>
      </c>
    </row>
    <row r="83" spans="1:39" x14ac:dyDescent="0.25">
      <c r="A83" s="278"/>
      <c r="B83" s="56" t="s">
        <v>30</v>
      </c>
      <c r="C83" s="58">
        <f>IF(C43=0,"-",($AD$9/C43)*$K$22*3.59999712)</f>
        <v>2.8561765046444214</v>
      </c>
      <c r="D83" s="58">
        <f>IF(D43=0,"-",($AD$9/D43)*$K$22*3.59999712)</f>
        <v>6.1517647792341386</v>
      </c>
      <c r="E83" s="58">
        <f>IF(E43=0,"-",($AD$9/E43)*$K$22*3.59999712)</f>
        <v>11.424706018577686</v>
      </c>
      <c r="F83" s="58">
        <f>IF(F43=0,"-",($AD$9/F43)*$K$22*3.59999712)</f>
        <v>15.994588426008757</v>
      </c>
      <c r="G83" s="58" t="str">
        <f>IF(G43=0,"-",($AD$9/G43)*$K$22*3.59999712)</f>
        <v>-</v>
      </c>
      <c r="H83" s="81">
        <f>IF(H43=0,"-",($AD$9/H43)*$K$22*3.59999712)</f>
        <v>2.6220636763948781</v>
      </c>
      <c r="I83" s="81"/>
      <c r="N83" s="53"/>
      <c r="T83" s="53"/>
      <c r="AF83" s="125" t="s">
        <v>37</v>
      </c>
      <c r="AG83" s="131">
        <v>5.17</v>
      </c>
      <c r="AI83" s="191" t="s">
        <v>240</v>
      </c>
      <c r="AJ83" s="194">
        <v>3.7949999999999999</v>
      </c>
      <c r="AL83" s="16">
        <v>2800</v>
      </c>
      <c r="AM83" s="13">
        <v>2800</v>
      </c>
    </row>
    <row r="84" spans="1:39" ht="15" customHeight="1" thickBot="1" x14ac:dyDescent="0.3">
      <c r="A84" s="278"/>
      <c r="B84" s="56" t="s">
        <v>31</v>
      </c>
      <c r="C84" s="58">
        <f>IF(C44=0,"-",($AD$9/C44)*$K$22*3.59999712)</f>
        <v>3.8869770476739878</v>
      </c>
      <c r="D84" s="58">
        <f>IF(D44=0,"-",($AD$9/D44)*$K$22*3.59999712)</f>
        <v>8.371950564220894</v>
      </c>
      <c r="E84" s="58">
        <f>IF(E44=0,"-",($AD$9/E44)*$K$22*3.59999712)</f>
        <v>15.547908190695951</v>
      </c>
      <c r="F84" s="58">
        <f>IF(F44=0,"-",($AD$9/F44)*$K$22*3.59999712)</f>
        <v>21.767071466974329</v>
      </c>
      <c r="G84" s="58" t="str">
        <f>IF(G44=0,"-",($AD$9/G44)*$K$22*3.59999712)</f>
        <v>-</v>
      </c>
      <c r="H84" s="81">
        <f>IF(H44=0,"-",($AD$9/H44)*$K$22*3.59999712)</f>
        <v>3.5683723716351361</v>
      </c>
      <c r="I84" s="81"/>
      <c r="N84" s="53"/>
      <c r="T84" s="53"/>
      <c r="AF84" s="124" t="s">
        <v>192</v>
      </c>
      <c r="AG84" s="136">
        <v>5.86</v>
      </c>
      <c r="AI84" s="195" t="s">
        <v>243</v>
      </c>
      <c r="AJ84" s="196">
        <v>4.1100000000000003</v>
      </c>
      <c r="AL84" s="16">
        <v>2900</v>
      </c>
      <c r="AM84" s="13">
        <v>2900</v>
      </c>
    </row>
    <row r="85" spans="1:39" x14ac:dyDescent="0.25">
      <c r="A85" s="278"/>
      <c r="B85" s="56" t="s">
        <v>32</v>
      </c>
      <c r="C85" s="81">
        <f>IF(C45=0,"-",($AD$9/C45)*$K$22*3.59999712)</f>
        <v>0.67138694459823423</v>
      </c>
      <c r="D85" s="81">
        <f>IF(D45=0,"-",($AD$9/D45)*$K$22*3.59999712)</f>
        <v>1.4460641883654273</v>
      </c>
      <c r="E85" s="81">
        <f>IF(E45=0,"-",($AD$9/E45)*$K$22*3.59999712)</f>
        <v>2.6855477783929369</v>
      </c>
      <c r="F85" s="81">
        <f>IF(F45=0,"-",($AD$9/F45)*$K$22*3.59999712)</f>
        <v>3.7597668897501113</v>
      </c>
      <c r="G85" s="81" t="str">
        <f>IF(G45=0,"-",($AD$9/G45)*$K$22*3.59999712)</f>
        <v>-</v>
      </c>
      <c r="H85" s="81">
        <f>IF(H45=0,"-",($AD$9/H45)*$K$22*3.59999712)</f>
        <v>0.6163552278278871</v>
      </c>
      <c r="I85" s="81"/>
      <c r="N85" s="53"/>
      <c r="T85" s="53"/>
      <c r="AF85" s="124" t="s">
        <v>202</v>
      </c>
      <c r="AG85" s="136">
        <v>4.1109999999999998</v>
      </c>
      <c r="AL85" s="16">
        <v>3000</v>
      </c>
      <c r="AM85" s="13">
        <v>3000</v>
      </c>
    </row>
    <row r="86" spans="1:39" ht="15.75" thickBot="1" x14ac:dyDescent="0.3">
      <c r="A86" s="88"/>
      <c r="N86" s="53"/>
      <c r="T86" s="53"/>
      <c r="AF86" s="124" t="s">
        <v>201</v>
      </c>
      <c r="AG86" s="136">
        <v>3.7269999999999999</v>
      </c>
      <c r="AL86" s="16">
        <v>3100</v>
      </c>
      <c r="AM86" s="13">
        <v>3100</v>
      </c>
    </row>
    <row r="87" spans="1:39" ht="16.5" thickBot="1" x14ac:dyDescent="0.3">
      <c r="A87" s="88"/>
      <c r="B87" s="266" t="s">
        <v>139</v>
      </c>
      <c r="C87" s="266"/>
      <c r="D87" s="266"/>
      <c r="E87" s="266"/>
      <c r="F87" s="76">
        <f>AC9</f>
        <v>2600</v>
      </c>
      <c r="G87" s="76" t="s">
        <v>131</v>
      </c>
      <c r="H87" s="77" t="s">
        <v>134</v>
      </c>
      <c r="I87" s="246"/>
      <c r="N87" s="53"/>
      <c r="T87" s="53"/>
      <c r="AF87" s="124" t="s">
        <v>193</v>
      </c>
      <c r="AG87" s="136">
        <v>3.9089999999999998</v>
      </c>
      <c r="AI87" s="252" t="s">
        <v>174</v>
      </c>
      <c r="AJ87" s="253"/>
      <c r="AL87" s="16">
        <v>3200</v>
      </c>
      <c r="AM87" s="13">
        <v>3200</v>
      </c>
    </row>
    <row r="88" spans="1:39" ht="15" customHeight="1" x14ac:dyDescent="0.25">
      <c r="A88" s="88"/>
      <c r="B88" s="14"/>
      <c r="C88" s="274" t="s">
        <v>103</v>
      </c>
      <c r="D88" s="274"/>
      <c r="E88" s="274"/>
      <c r="F88" s="274"/>
      <c r="G88" s="274"/>
      <c r="H88" s="274"/>
      <c r="I88" s="199"/>
      <c r="N88" s="53"/>
      <c r="T88" s="53"/>
      <c r="AF88" s="124" t="s">
        <v>198</v>
      </c>
      <c r="AG88" s="136">
        <v>4.22</v>
      </c>
      <c r="AI88" s="16" t="s">
        <v>273</v>
      </c>
      <c r="AJ88" s="217">
        <v>1</v>
      </c>
      <c r="AL88" s="16">
        <v>3300</v>
      </c>
      <c r="AM88" s="13">
        <v>3300</v>
      </c>
    </row>
    <row r="89" spans="1:39" x14ac:dyDescent="0.25">
      <c r="A89" s="88"/>
      <c r="B89" s="59" t="s">
        <v>105</v>
      </c>
      <c r="C89" s="37" t="s">
        <v>27</v>
      </c>
      <c r="D89" s="37" t="s">
        <v>28</v>
      </c>
      <c r="E89" s="37" t="s">
        <v>29</v>
      </c>
      <c r="F89" s="37" t="s">
        <v>30</v>
      </c>
      <c r="G89" s="37" t="s">
        <v>31</v>
      </c>
      <c r="H89" s="37" t="s">
        <v>32</v>
      </c>
      <c r="I89" s="208"/>
      <c r="N89" s="53"/>
      <c r="T89" s="53"/>
      <c r="AF89" s="125" t="s">
        <v>51</v>
      </c>
      <c r="AG89" s="131">
        <v>5.86</v>
      </c>
      <c r="AI89" s="213" t="s">
        <v>274</v>
      </c>
      <c r="AJ89" s="217">
        <v>2</v>
      </c>
      <c r="AL89" s="16">
        <v>3400</v>
      </c>
      <c r="AM89" s="13">
        <v>3400</v>
      </c>
    </row>
    <row r="90" spans="1:39" ht="15" customHeight="1" x14ac:dyDescent="0.25">
      <c r="A90" s="278" t="s">
        <v>136</v>
      </c>
      <c r="B90" s="56" t="s">
        <v>27</v>
      </c>
      <c r="C90" s="58">
        <f>($AD$9/C50)*$K$22*3.59999712</f>
        <v>1.9654837962553076</v>
      </c>
      <c r="D90" s="58">
        <f>($AD$9/D50)*$K$22*3.59999712</f>
        <v>4.2333497150114319</v>
      </c>
      <c r="E90" s="58">
        <f>IF(E50=0,"-",($AD$9/E50)*$K$22*3.59999712)</f>
        <v>7.8619351850212302</v>
      </c>
      <c r="F90" s="58">
        <f>IF(F50=0,"-",($AD$9/F50)*$K$22*3.59999712)</f>
        <v>11.006709259029723</v>
      </c>
      <c r="G90" s="58" t="str">
        <f>IF(G50=0,"-",($AD$9/G50)*$K$22*3.59999712)</f>
        <v>-</v>
      </c>
      <c r="H90" s="81">
        <f>IF(H50=0,"-",($AD$9/H50)*$K$22*3.59999712)</f>
        <v>1.8043785670540526</v>
      </c>
      <c r="I90" s="81"/>
      <c r="N90" s="53"/>
      <c r="T90" s="53"/>
      <c r="AF90" s="125" t="s">
        <v>40</v>
      </c>
      <c r="AG90" s="134">
        <v>4.78</v>
      </c>
      <c r="AI90" s="213" t="s">
        <v>275</v>
      </c>
      <c r="AJ90" s="217">
        <v>3</v>
      </c>
      <c r="AL90" s="16">
        <v>3500</v>
      </c>
      <c r="AM90" s="13">
        <v>3500</v>
      </c>
    </row>
    <row r="91" spans="1:39" x14ac:dyDescent="0.25">
      <c r="A91" s="278"/>
      <c r="B91" s="56" t="s">
        <v>28</v>
      </c>
      <c r="C91" s="58">
        <f>($AD$9/C51)*$K$22*3.59999712</f>
        <v>3.2859751272206261</v>
      </c>
      <c r="D91" s="58">
        <f>($AD$9/D51)*$K$22*3.59999712</f>
        <v>7.0774848893982698</v>
      </c>
      <c r="E91" s="58">
        <f>IF(E51=0,"-",($AD$9/E51)*$K$22*3.59999712)</f>
        <v>13.143900508882504</v>
      </c>
      <c r="F91" s="58">
        <f>IF(F51=0,"-",($AD$9/F51)*$K$22*3.59999712)</f>
        <v>18.401460712435505</v>
      </c>
      <c r="G91" s="58" t="str">
        <f>IF(G51=0,"-",($AD$9/G51)*$K$22*3.59999712)</f>
        <v>-</v>
      </c>
      <c r="H91" s="81">
        <f>IF(H51=0,"-",($AD$9/H51)*$K$22*3.59999712)</f>
        <v>3.0166329036779516</v>
      </c>
      <c r="I91" s="81"/>
      <c r="N91" s="53"/>
      <c r="T91" s="53"/>
      <c r="AF91" s="125" t="s">
        <v>44</v>
      </c>
      <c r="AG91" s="134">
        <v>7.44</v>
      </c>
      <c r="AI91" s="213" t="s">
        <v>276</v>
      </c>
      <c r="AJ91" s="217">
        <v>4</v>
      </c>
      <c r="AL91" s="16">
        <v>3600</v>
      </c>
      <c r="AM91" s="13">
        <v>3600</v>
      </c>
    </row>
    <row r="92" spans="1:39" ht="15.75" thickBot="1" x14ac:dyDescent="0.3">
      <c r="A92" s="278"/>
      <c r="B92" s="56" t="s">
        <v>29</v>
      </c>
      <c r="C92" s="58">
        <f>IF(C52=0,"-",($AD$9/C52)*$K$22*3.59999712)</f>
        <v>5.3117375712419426</v>
      </c>
      <c r="D92" s="58">
        <f>IF(D52=0,"-",($AD$9/D52)*$K$22*3.59999712)</f>
        <v>11.440665538059569</v>
      </c>
      <c r="E92" s="58">
        <f>IF(E52=0,"-",($AD$9/E52)*$K$22*3.59999712)</f>
        <v>21.24695028496777</v>
      </c>
      <c r="F92" s="58">
        <f>IF(F52=0,"-",($AD$9/F52)*$K$22*3.59999712)</f>
        <v>29.745730398954883</v>
      </c>
      <c r="G92" s="58" t="str">
        <f>IF(G52=0,"-",($AD$9/G52)*$K$22*3.59999712)</f>
        <v>-</v>
      </c>
      <c r="H92" s="81">
        <f>IF(H52=0,"-",($AD$9/H52)*$K$22*3.59999712)</f>
        <v>4.8763492457303084</v>
      </c>
      <c r="I92" s="81"/>
      <c r="N92" s="53"/>
      <c r="T92" s="53"/>
      <c r="AF92" s="125" t="s">
        <v>43</v>
      </c>
      <c r="AG92" s="134">
        <v>3.15</v>
      </c>
      <c r="AI92" s="241" t="s">
        <v>277</v>
      </c>
      <c r="AJ92" s="242">
        <f>Q40</f>
        <v>1.1785714285714286</v>
      </c>
      <c r="AL92" s="16">
        <v>3700</v>
      </c>
      <c r="AM92" s="13">
        <v>3700</v>
      </c>
    </row>
    <row r="93" spans="1:39" x14ac:dyDescent="0.25">
      <c r="A93" s="278"/>
      <c r="B93" s="56" t="s">
        <v>30</v>
      </c>
      <c r="C93" s="58">
        <f>IF(C53=0,"-",($AD$9/C53)*$K$22*3.59999712)</f>
        <v>8.1877059799806737</v>
      </c>
      <c r="D93" s="58">
        <f>IF(D53=0,"-",($AD$9/D53)*$K$22*3.59999712)</f>
        <v>17.635059033804527</v>
      </c>
      <c r="E93" s="58">
        <f>IF(E53=0,"-",($AD$9/E53)*$K$22*3.59999712)</f>
        <v>32.750823919922695</v>
      </c>
      <c r="F93" s="58">
        <f>IF(F53=0,"-",($AD$9/F53)*$K$22*3.59999712)</f>
        <v>45.851153487891771</v>
      </c>
      <c r="G93" s="58" t="str">
        <f>IF(G53=0,"-",($AD$9/G53)*$K$22*3.59999712)</f>
        <v>-</v>
      </c>
      <c r="H93" s="81">
        <f>IF(H53=0,"-",($AD$9/H53)*$K$22*3.59999712)</f>
        <v>7.5165825389986507</v>
      </c>
      <c r="I93" s="81"/>
      <c r="N93" s="53"/>
      <c r="T93" s="53"/>
      <c r="AF93" s="125" t="s">
        <v>10</v>
      </c>
      <c r="AG93" s="131">
        <v>8.3460000000000001</v>
      </c>
      <c r="AL93" s="16">
        <v>3800</v>
      </c>
      <c r="AM93" s="13">
        <v>3800</v>
      </c>
    </row>
    <row r="94" spans="1:39" x14ac:dyDescent="0.25">
      <c r="A94" s="278"/>
      <c r="B94" s="56" t="s">
        <v>31</v>
      </c>
      <c r="C94" s="58">
        <f>IF(C54=0,"-",($AD$9/C54)*$K$22*3.59999712)</f>
        <v>11.142667536665428</v>
      </c>
      <c r="D94" s="58">
        <f>IF(D54=0,"-",($AD$9/D54)*$K$22*3.59999712)</f>
        <v>23.999591617433225</v>
      </c>
      <c r="E94" s="58">
        <f>IF(E54=0,"-",($AD$9/E54)*$K$22*3.59999712)</f>
        <v>44.570670146661712</v>
      </c>
      <c r="F94" s="58">
        <f>IF(F54=0,"-",($AD$9/F54)*$K$22*3.59999712)</f>
        <v>62.398938205326417</v>
      </c>
      <c r="G94" s="58" t="str">
        <f>IF(G54=0,"-",($AD$9/G54)*$K$22*3.59999712)</f>
        <v>-</v>
      </c>
      <c r="H94" s="81">
        <f>IF(H54=0,"-",($AD$9/H54)*$K$22*3.59999712)</f>
        <v>10.229334132020721</v>
      </c>
      <c r="I94" s="81"/>
      <c r="N94" s="53"/>
      <c r="T94" s="53"/>
      <c r="AF94" s="125" t="s">
        <v>35</v>
      </c>
      <c r="AG94" s="131">
        <v>3.9</v>
      </c>
      <c r="AL94" s="16">
        <v>3900</v>
      </c>
      <c r="AM94" s="13">
        <v>3900</v>
      </c>
    </row>
    <row r="95" spans="1:39" x14ac:dyDescent="0.25">
      <c r="A95" s="278"/>
      <c r="B95" s="56" t="s">
        <v>32</v>
      </c>
      <c r="C95" s="81">
        <f>IF(C55=0,"-",($AD$9/C55)*$K$22*3.59999712)</f>
        <v>1.9246425745149378</v>
      </c>
      <c r="D95" s="81">
        <f>IF(D55=0,"-",($AD$9/D55)*$K$22*3.59999712)</f>
        <v>4.145384006647558</v>
      </c>
      <c r="E95" s="81">
        <f>IF(E55=0,"-",($AD$9/E55)*$K$22*3.59999712)</f>
        <v>7.6985702980597512</v>
      </c>
      <c r="F95" s="81">
        <f>IF(F55=0,"-",($AD$9/F55)*$K$22*3.59999712)</f>
        <v>10.777998417283651</v>
      </c>
      <c r="G95" s="81" t="str">
        <f>IF(G55=0,"-",($AD$9/G55)*$K$22*3.59999712)</f>
        <v>-</v>
      </c>
      <c r="H95" s="81">
        <f>IF(H55=0,"-",($AD$9/H55)*$K$22*3.59999712)</f>
        <v>1.766884986439943</v>
      </c>
      <c r="I95" s="81"/>
      <c r="N95" s="53"/>
      <c r="T95" s="53"/>
      <c r="AF95" s="124" t="s">
        <v>194</v>
      </c>
      <c r="AG95" s="136">
        <v>4.4400000000000004</v>
      </c>
      <c r="AL95" s="16">
        <v>4000</v>
      </c>
      <c r="AM95" s="13">
        <v>4000</v>
      </c>
    </row>
    <row r="96" spans="1:39" x14ac:dyDescent="0.25">
      <c r="N96" s="53"/>
      <c r="T96" s="53"/>
      <c r="AF96" s="124" t="s">
        <v>195</v>
      </c>
      <c r="AG96" s="136">
        <v>4.4400000000000004</v>
      </c>
      <c r="AL96" s="16">
        <v>4100</v>
      </c>
      <c r="AM96" s="13">
        <v>4100</v>
      </c>
    </row>
    <row r="97" spans="14:39" x14ac:dyDescent="0.25">
      <c r="N97" s="53"/>
      <c r="T97" s="53"/>
      <c r="AF97" s="124" t="s">
        <v>196</v>
      </c>
      <c r="AG97" s="136">
        <v>4.3</v>
      </c>
      <c r="AL97" s="16">
        <v>4200</v>
      </c>
      <c r="AM97" s="13">
        <v>4200</v>
      </c>
    </row>
    <row r="98" spans="14:39" x14ac:dyDescent="0.25">
      <c r="N98" s="53"/>
      <c r="T98" s="53"/>
      <c r="AF98" s="124" t="s">
        <v>203</v>
      </c>
      <c r="AG98" s="136">
        <v>4.2699999999999996</v>
      </c>
      <c r="AL98" s="16">
        <v>4300</v>
      </c>
      <c r="AM98" s="13">
        <v>4300</v>
      </c>
    </row>
    <row r="99" spans="14:39" ht="15.75" thickBot="1" x14ac:dyDescent="0.3">
      <c r="N99" s="53"/>
      <c r="T99" s="53"/>
      <c r="AF99" s="130" t="s">
        <v>38</v>
      </c>
      <c r="AG99" s="135">
        <v>5.125</v>
      </c>
      <c r="AL99" s="16">
        <v>4400</v>
      </c>
      <c r="AM99" s="13">
        <v>4400</v>
      </c>
    </row>
    <row r="100" spans="14:39" x14ac:dyDescent="0.25">
      <c r="T100" s="53"/>
      <c r="AL100" s="16">
        <v>4500</v>
      </c>
      <c r="AM100" s="13">
        <v>4500</v>
      </c>
    </row>
    <row r="101" spans="14:39" ht="15.75" thickBot="1" x14ac:dyDescent="0.3">
      <c r="AL101" s="16">
        <v>4600</v>
      </c>
      <c r="AM101" s="13">
        <v>4600</v>
      </c>
    </row>
    <row r="102" spans="14:39" ht="16.5" thickBot="1" x14ac:dyDescent="0.3">
      <c r="AF102" s="252" t="s">
        <v>256</v>
      </c>
      <c r="AG102" s="253"/>
      <c r="AL102" s="16">
        <v>4700</v>
      </c>
      <c r="AM102" s="13">
        <v>4700</v>
      </c>
    </row>
    <row r="103" spans="14:39" x14ac:dyDescent="0.25">
      <c r="AF103" s="50" t="s">
        <v>245</v>
      </c>
      <c r="AG103" s="67" t="s">
        <v>47</v>
      </c>
      <c r="AL103" s="16">
        <v>4800</v>
      </c>
      <c r="AM103" s="13">
        <v>4800</v>
      </c>
    </row>
    <row r="104" spans="14:39" x14ac:dyDescent="0.25">
      <c r="AF104" s="16"/>
      <c r="AG104" s="13"/>
      <c r="AL104" s="16">
        <v>4900</v>
      </c>
      <c r="AM104" s="13">
        <v>4900</v>
      </c>
    </row>
    <row r="105" spans="14:39" x14ac:dyDescent="0.25">
      <c r="AF105" s="125" t="s">
        <v>246</v>
      </c>
      <c r="AG105" s="126">
        <v>1</v>
      </c>
      <c r="AL105" s="16">
        <v>5000</v>
      </c>
      <c r="AM105" s="13">
        <v>5000</v>
      </c>
    </row>
    <row r="106" spans="14:39" x14ac:dyDescent="0.25">
      <c r="AF106" s="125" t="s">
        <v>247</v>
      </c>
      <c r="AG106" s="126">
        <f>Q13</f>
        <v>4.3099999999999996</v>
      </c>
      <c r="AL106" s="16">
        <v>5100</v>
      </c>
      <c r="AM106" s="13">
        <v>5100</v>
      </c>
    </row>
    <row r="107" spans="14:39" x14ac:dyDescent="0.25">
      <c r="AF107" s="125" t="s">
        <v>18</v>
      </c>
      <c r="AG107" s="127">
        <v>3.867</v>
      </c>
      <c r="AL107" s="16">
        <v>5200</v>
      </c>
      <c r="AM107" s="13">
        <v>5200</v>
      </c>
    </row>
    <row r="108" spans="14:39" x14ac:dyDescent="0.25">
      <c r="AF108" s="125" t="s">
        <v>248</v>
      </c>
      <c r="AG108" s="127">
        <v>4.22</v>
      </c>
      <c r="AL108" s="16">
        <v>5300</v>
      </c>
      <c r="AM108" s="13">
        <v>5300</v>
      </c>
    </row>
    <row r="109" spans="14:39" x14ac:dyDescent="0.25">
      <c r="AF109" s="125" t="s">
        <v>249</v>
      </c>
      <c r="AG109" s="127">
        <v>3.9</v>
      </c>
      <c r="AL109" s="16">
        <v>5400</v>
      </c>
      <c r="AM109" s="13">
        <v>5400</v>
      </c>
    </row>
    <row r="110" spans="14:39" x14ac:dyDescent="0.25">
      <c r="AF110" s="125" t="s">
        <v>250</v>
      </c>
      <c r="AG110" s="127">
        <v>4.1669999999999998</v>
      </c>
      <c r="AL110" s="16">
        <v>5500</v>
      </c>
      <c r="AM110" s="13">
        <v>5500</v>
      </c>
    </row>
    <row r="111" spans="14:39" x14ac:dyDescent="0.25">
      <c r="AF111" s="125" t="s">
        <v>251</v>
      </c>
      <c r="AG111" s="127">
        <v>3.895</v>
      </c>
      <c r="AL111" s="16">
        <v>5600</v>
      </c>
      <c r="AM111" s="13">
        <v>5600</v>
      </c>
    </row>
    <row r="112" spans="14:39" x14ac:dyDescent="0.25">
      <c r="AF112" s="125" t="s">
        <v>252</v>
      </c>
      <c r="AG112" s="127">
        <v>3.8330000000000002</v>
      </c>
      <c r="AL112" s="16">
        <v>5700</v>
      </c>
      <c r="AM112" s="13">
        <v>5700</v>
      </c>
    </row>
    <row r="113" spans="32:39" x14ac:dyDescent="0.25">
      <c r="AF113" s="125" t="s">
        <v>253</v>
      </c>
      <c r="AG113" s="127">
        <v>4.1180000000000003</v>
      </c>
      <c r="AL113" s="16">
        <v>5800</v>
      </c>
      <c r="AM113" s="13">
        <v>5800</v>
      </c>
    </row>
    <row r="114" spans="32:39" x14ac:dyDescent="0.25">
      <c r="AF114" s="125" t="s">
        <v>254</v>
      </c>
      <c r="AG114" s="127">
        <v>3.8330000000000002</v>
      </c>
      <c r="AL114" s="16">
        <v>5900</v>
      </c>
      <c r="AM114" s="13">
        <v>5900</v>
      </c>
    </row>
    <row r="115" spans="32:39" x14ac:dyDescent="0.25">
      <c r="AF115" s="125" t="s">
        <v>255</v>
      </c>
      <c r="AG115" s="127">
        <v>3.5790000000000002</v>
      </c>
      <c r="AL115" s="16">
        <v>6000</v>
      </c>
      <c r="AM115" s="13">
        <v>6000</v>
      </c>
    </row>
    <row r="116" spans="32:39" x14ac:dyDescent="0.25">
      <c r="AF116" s="125" t="s">
        <v>50</v>
      </c>
      <c r="AG116" s="127">
        <v>4.2670000000000003</v>
      </c>
      <c r="AL116" s="16">
        <v>6100</v>
      </c>
      <c r="AM116" s="13">
        <v>6100</v>
      </c>
    </row>
    <row r="117" spans="32:39" x14ac:dyDescent="0.25">
      <c r="AL117" s="16">
        <v>6200</v>
      </c>
      <c r="AM117" s="13">
        <v>6200</v>
      </c>
    </row>
    <row r="118" spans="32:39" x14ac:dyDescent="0.25">
      <c r="AL118" s="16">
        <v>6300</v>
      </c>
      <c r="AM118" s="13">
        <v>6300</v>
      </c>
    </row>
    <row r="119" spans="32:39" x14ac:dyDescent="0.25">
      <c r="AL119" s="16">
        <v>6400</v>
      </c>
      <c r="AM119" s="13">
        <v>6400</v>
      </c>
    </row>
    <row r="120" spans="32:39" ht="15.75" thickBot="1" x14ac:dyDescent="0.3">
      <c r="AL120" s="16">
        <v>6500</v>
      </c>
      <c r="AM120" s="13">
        <v>6500</v>
      </c>
    </row>
    <row r="121" spans="32:39" ht="16.5" thickBot="1" x14ac:dyDescent="0.3">
      <c r="AF121" s="252" t="s">
        <v>257</v>
      </c>
      <c r="AG121" s="253"/>
      <c r="AL121" s="16">
        <v>6600</v>
      </c>
      <c r="AM121" s="13">
        <v>6600</v>
      </c>
    </row>
    <row r="122" spans="32:39" x14ac:dyDescent="0.25">
      <c r="AF122" s="50" t="s">
        <v>245</v>
      </c>
      <c r="AG122" s="67" t="s">
        <v>47</v>
      </c>
      <c r="AL122" s="16">
        <v>6700</v>
      </c>
      <c r="AM122" s="13">
        <v>6700</v>
      </c>
    </row>
    <row r="123" spans="32:39" x14ac:dyDescent="0.25">
      <c r="AF123" s="16"/>
      <c r="AG123" s="13"/>
      <c r="AL123" s="16">
        <v>6800</v>
      </c>
      <c r="AM123" s="13">
        <v>6800</v>
      </c>
    </row>
    <row r="124" spans="32:39" x14ac:dyDescent="0.25">
      <c r="AF124" s="125" t="s">
        <v>246</v>
      </c>
      <c r="AG124" s="126">
        <v>1</v>
      </c>
      <c r="AL124" s="16">
        <v>6900</v>
      </c>
      <c r="AM124" s="13">
        <v>6900</v>
      </c>
    </row>
    <row r="125" spans="32:39" x14ac:dyDescent="0.25">
      <c r="AF125" s="125" t="s">
        <v>247</v>
      </c>
      <c r="AG125" s="126">
        <f>Q22</f>
        <v>5.77</v>
      </c>
      <c r="AL125" s="16">
        <v>7000</v>
      </c>
      <c r="AM125" s="13">
        <v>7000</v>
      </c>
    </row>
    <row r="126" spans="32:39" x14ac:dyDescent="0.25">
      <c r="AF126" s="125" t="s">
        <v>18</v>
      </c>
      <c r="AG126" s="127">
        <v>3.867</v>
      </c>
      <c r="AL126" s="16">
        <v>7100</v>
      </c>
      <c r="AM126" s="13">
        <v>7100</v>
      </c>
    </row>
    <row r="127" spans="32:39" x14ac:dyDescent="0.25">
      <c r="AF127" s="125" t="s">
        <v>248</v>
      </c>
      <c r="AG127" s="127">
        <v>4.22</v>
      </c>
      <c r="AL127" s="16">
        <v>7200</v>
      </c>
      <c r="AM127" s="13">
        <v>7200</v>
      </c>
    </row>
    <row r="128" spans="32:39" x14ac:dyDescent="0.25">
      <c r="AF128" s="125" t="s">
        <v>249</v>
      </c>
      <c r="AG128" s="127">
        <v>3.9</v>
      </c>
      <c r="AL128" s="16">
        <v>7300</v>
      </c>
      <c r="AM128" s="13">
        <v>7300</v>
      </c>
    </row>
    <row r="129" spans="32:39" x14ac:dyDescent="0.25">
      <c r="AF129" s="125" t="s">
        <v>250</v>
      </c>
      <c r="AG129" s="127">
        <v>4.1669999999999998</v>
      </c>
      <c r="AL129" s="16">
        <v>7400</v>
      </c>
      <c r="AM129" s="13">
        <v>7400</v>
      </c>
    </row>
    <row r="130" spans="32:39" x14ac:dyDescent="0.25">
      <c r="AF130" s="125" t="s">
        <v>251</v>
      </c>
      <c r="AG130" s="127">
        <v>3.895</v>
      </c>
      <c r="AL130" s="16">
        <v>7500</v>
      </c>
      <c r="AM130" s="13">
        <v>7500</v>
      </c>
    </row>
    <row r="131" spans="32:39" x14ac:dyDescent="0.25">
      <c r="AF131" s="125" t="s">
        <v>252</v>
      </c>
      <c r="AG131" s="127">
        <v>3.8330000000000002</v>
      </c>
      <c r="AL131" s="16">
        <v>7600</v>
      </c>
      <c r="AM131" s="13">
        <v>7600</v>
      </c>
    </row>
    <row r="132" spans="32:39" x14ac:dyDescent="0.25">
      <c r="AF132" s="125" t="s">
        <v>253</v>
      </c>
      <c r="AG132" s="127">
        <v>4.1180000000000003</v>
      </c>
      <c r="AL132" s="16">
        <v>7700</v>
      </c>
      <c r="AM132" s="13">
        <v>7700</v>
      </c>
    </row>
    <row r="133" spans="32:39" x14ac:dyDescent="0.25">
      <c r="AF133" s="125" t="s">
        <v>254</v>
      </c>
      <c r="AG133" s="127">
        <v>3.8330000000000002</v>
      </c>
      <c r="AL133" s="16">
        <v>7800</v>
      </c>
      <c r="AM133" s="13">
        <v>7800</v>
      </c>
    </row>
    <row r="134" spans="32:39" x14ac:dyDescent="0.25">
      <c r="AF134" s="125" t="s">
        <v>255</v>
      </c>
      <c r="AG134" s="127">
        <v>3.5790000000000002</v>
      </c>
      <c r="AL134" s="16">
        <v>7900</v>
      </c>
      <c r="AM134" s="13">
        <v>7900</v>
      </c>
    </row>
    <row r="135" spans="32:39" x14ac:dyDescent="0.25">
      <c r="AF135" s="125" t="s">
        <v>50</v>
      </c>
      <c r="AG135" s="127">
        <v>4.2670000000000003</v>
      </c>
      <c r="AL135" s="16">
        <v>8000</v>
      </c>
      <c r="AM135" s="13">
        <v>8000</v>
      </c>
    </row>
    <row r="136" spans="32:39" x14ac:dyDescent="0.25">
      <c r="AL136" s="16">
        <v>8100</v>
      </c>
      <c r="AM136" s="13">
        <v>8100</v>
      </c>
    </row>
    <row r="137" spans="32:39" x14ac:dyDescent="0.25">
      <c r="AL137" s="16">
        <v>8200</v>
      </c>
      <c r="AM137" s="13">
        <v>8200</v>
      </c>
    </row>
    <row r="138" spans="32:39" x14ac:dyDescent="0.25">
      <c r="AL138" s="16">
        <v>8300</v>
      </c>
      <c r="AM138" s="13">
        <v>8300</v>
      </c>
    </row>
    <row r="139" spans="32:39" x14ac:dyDescent="0.25">
      <c r="AL139" s="16">
        <v>8400</v>
      </c>
      <c r="AM139" s="13">
        <v>8400</v>
      </c>
    </row>
    <row r="140" spans="32:39" x14ac:dyDescent="0.25">
      <c r="AL140" s="16">
        <v>8500</v>
      </c>
      <c r="AM140" s="13">
        <v>8500</v>
      </c>
    </row>
    <row r="141" spans="32:39" x14ac:dyDescent="0.25">
      <c r="AL141" s="16">
        <v>8600</v>
      </c>
      <c r="AM141" s="13">
        <v>8600</v>
      </c>
    </row>
    <row r="142" spans="32:39" x14ac:dyDescent="0.25">
      <c r="AL142" s="16">
        <v>8700</v>
      </c>
      <c r="AM142" s="13">
        <v>8700</v>
      </c>
    </row>
    <row r="143" spans="32:39" x14ac:dyDescent="0.25">
      <c r="AL143" s="16">
        <v>8800</v>
      </c>
      <c r="AM143" s="13">
        <v>8800</v>
      </c>
    </row>
    <row r="144" spans="32:39" x14ac:dyDescent="0.25">
      <c r="AL144" s="16">
        <v>8900</v>
      </c>
      <c r="AM144" s="13">
        <v>8900</v>
      </c>
    </row>
    <row r="145" spans="38:39" x14ac:dyDescent="0.25">
      <c r="AL145" s="16">
        <v>9000</v>
      </c>
      <c r="AM145" s="13">
        <v>9000</v>
      </c>
    </row>
    <row r="146" spans="38:39" x14ac:dyDescent="0.25">
      <c r="AL146" s="16">
        <v>9100</v>
      </c>
      <c r="AM146" s="13">
        <v>9100</v>
      </c>
    </row>
    <row r="147" spans="38:39" x14ac:dyDescent="0.25">
      <c r="AL147" s="16">
        <v>9200</v>
      </c>
      <c r="AM147" s="13">
        <v>9200</v>
      </c>
    </row>
    <row r="148" spans="38:39" x14ac:dyDescent="0.25">
      <c r="AL148" s="16">
        <v>9300</v>
      </c>
      <c r="AM148" s="13">
        <v>9300</v>
      </c>
    </row>
    <row r="149" spans="38:39" x14ac:dyDescent="0.25">
      <c r="AL149" s="16">
        <v>9400</v>
      </c>
      <c r="AM149" s="13">
        <v>9400</v>
      </c>
    </row>
    <row r="150" spans="38:39" x14ac:dyDescent="0.25">
      <c r="AL150" s="16">
        <v>9500</v>
      </c>
      <c r="AM150" s="13">
        <v>9500</v>
      </c>
    </row>
    <row r="151" spans="38:39" x14ac:dyDescent="0.25">
      <c r="AL151" s="16">
        <v>9600</v>
      </c>
      <c r="AM151" s="13">
        <v>9600</v>
      </c>
    </row>
    <row r="152" spans="38:39" x14ac:dyDescent="0.25">
      <c r="AL152" s="16">
        <v>9700</v>
      </c>
      <c r="AM152" s="13">
        <v>9700</v>
      </c>
    </row>
    <row r="153" spans="38:39" x14ac:dyDescent="0.25">
      <c r="AL153" s="16">
        <v>9800</v>
      </c>
      <c r="AM153" s="13">
        <v>9800</v>
      </c>
    </row>
    <row r="154" spans="38:39" x14ac:dyDescent="0.25">
      <c r="AL154" s="16">
        <v>9900</v>
      </c>
      <c r="AM154" s="13">
        <v>9900</v>
      </c>
    </row>
    <row r="155" spans="38:39" ht="15.75" thickBot="1" x14ac:dyDescent="0.3">
      <c r="AL155" s="18">
        <v>10000</v>
      </c>
      <c r="AM155" s="19">
        <v>10000</v>
      </c>
    </row>
  </sheetData>
  <sheetProtection password="C660" sheet="1" objects="1" scenarios="1"/>
  <protectedRanges>
    <protectedRange sqref="D11 D12 F14 G15 H14 I15 J15 K15 K21 G20 J28 K28 L28 Q7:Q13 Q16:Q22 Q25:Q26 Q29 Q32 Q34:Q36 Q40 Q42 R42" name="Oblast1"/>
  </protectedRanges>
  <mergeCells count="39">
    <mergeCell ref="AF3:AM3"/>
    <mergeCell ref="AP3:AW3"/>
    <mergeCell ref="AF58:AG58"/>
    <mergeCell ref="AI58:AJ58"/>
    <mergeCell ref="AL58:AM58"/>
    <mergeCell ref="AP58:AR58"/>
    <mergeCell ref="B87:E87"/>
    <mergeCell ref="B67:E67"/>
    <mergeCell ref="B37:G37"/>
    <mergeCell ref="F14:G14"/>
    <mergeCell ref="A90:A95"/>
    <mergeCell ref="C88:H88"/>
    <mergeCell ref="B47:G47"/>
    <mergeCell ref="A50:A55"/>
    <mergeCell ref="C48:H48"/>
    <mergeCell ref="A80:A85"/>
    <mergeCell ref="C78:H78"/>
    <mergeCell ref="C68:H68"/>
    <mergeCell ref="C58:H58"/>
    <mergeCell ref="B57:E57"/>
    <mergeCell ref="A60:A65"/>
    <mergeCell ref="A70:A75"/>
    <mergeCell ref="O4:R4"/>
    <mergeCell ref="U6:V6"/>
    <mergeCell ref="F13:G13"/>
    <mergeCell ref="B77:E77"/>
    <mergeCell ref="A40:A45"/>
    <mergeCell ref="C38:H38"/>
    <mergeCell ref="J26:L26"/>
    <mergeCell ref="D26:G26"/>
    <mergeCell ref="H13:I13"/>
    <mergeCell ref="H14:I14"/>
    <mergeCell ref="C35:I35"/>
    <mergeCell ref="AF102:AG102"/>
    <mergeCell ref="AF121:AG121"/>
    <mergeCell ref="AI87:AJ87"/>
    <mergeCell ref="W6:X6"/>
    <mergeCell ref="Y6:Z6"/>
    <mergeCell ref="AB6:AD6"/>
  </mergeCells>
  <conditionalFormatting sqref="F28:F29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70:G74">
    <cfRule type="colorScale" priority="20">
      <colorScale>
        <cfvo type="min"/>
        <cfvo type="max"/>
        <color theme="3" tint="0.79998168889431442"/>
        <color theme="0"/>
      </colorScale>
    </cfRule>
  </conditionalFormatting>
  <conditionalFormatting sqref="C60:G64">
    <cfRule type="colorScale" priority="19">
      <colorScale>
        <cfvo type="min"/>
        <cfvo type="max"/>
        <color theme="3" tint="0.79998168889431442"/>
        <color theme="0"/>
      </colorScale>
    </cfRule>
  </conditionalFormatting>
  <conditionalFormatting sqref="C80:G84">
    <cfRule type="colorScale" priority="18">
      <colorScale>
        <cfvo type="min"/>
        <cfvo type="max"/>
        <color theme="0"/>
        <color theme="9" tint="0.59999389629810485"/>
      </colorScale>
    </cfRule>
  </conditionalFormatting>
  <conditionalFormatting sqref="C90:G94">
    <cfRule type="colorScale" priority="17">
      <colorScale>
        <cfvo type="min"/>
        <cfvo type="max"/>
        <color theme="0"/>
        <color theme="9" tint="0.59999389629810485"/>
      </colorScale>
    </cfRule>
  </conditionalFormatting>
  <conditionalFormatting sqref="C40:G44">
    <cfRule type="colorScale" priority="16">
      <colorScale>
        <cfvo type="min"/>
        <cfvo type="max"/>
        <color theme="0"/>
        <color rgb="FFFFEF9C"/>
      </colorScale>
    </cfRule>
  </conditionalFormatting>
  <conditionalFormatting sqref="C50:G54">
    <cfRule type="colorScale" priority="15">
      <colorScale>
        <cfvo type="min"/>
        <cfvo type="max"/>
        <color theme="0"/>
        <color rgb="FFFFEF9C"/>
      </colorScale>
    </cfRule>
  </conditionalFormatting>
  <conditionalFormatting sqref="F57 F67 F77 F87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30:K31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:D12">
    <cfRule type="iconSet" priority="10">
      <iconSet iconSet="4Rating">
        <cfvo type="percent" val="0"/>
        <cfvo type="percent" val="25"/>
        <cfvo type="percent" val="50"/>
        <cfvo type="percent" val="75"/>
      </iconSet>
    </cfRule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J61">
    <cfRule type="iconSet" priority="7">
      <iconSet iconSet="3Flags">
        <cfvo type="percent" val="0"/>
        <cfvo type="percent" val="33"/>
        <cfvo type="percent" val="67"/>
      </iconSet>
    </cfRule>
  </conditionalFormatting>
  <conditionalFormatting sqref="AG7:AL7">
    <cfRule type="iconSet" priority="8">
      <iconSet iconSet="3Flags">
        <cfvo type="percent" val="0"/>
        <cfvo type="percent" val="33"/>
        <cfvo type="percent" val="67"/>
      </iconSet>
    </cfRule>
  </conditionalFormatting>
  <conditionalFormatting sqref="AQ7:AV7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AM7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AQ62:AR62">
    <cfRule type="iconSet" priority="9">
      <iconSet iconSet="3Flags">
        <cfvo type="percent" val="0"/>
        <cfvo type="percent" val="33"/>
        <cfvo type="percent" val="67"/>
      </iconSet>
    </cfRule>
  </conditionalFormatting>
  <conditionalFormatting sqref="AG61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AG106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AG125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AJ92">
    <cfRule type="iconSet" priority="1">
      <iconSet iconSet="3Flags">
        <cfvo type="percent" val="0"/>
        <cfvo type="percent" val="33"/>
        <cfvo type="percent" val="67"/>
      </iconSet>
    </cfRule>
  </conditionalFormatting>
  <dataValidations count="13">
    <dataValidation type="list" allowBlank="1" showInputMessage="1" showErrorMessage="1" sqref="J28">
      <formula1>$U$7:$U$12</formula1>
    </dataValidation>
    <dataValidation type="list" allowBlank="1" showInputMessage="1" showErrorMessage="1" sqref="L28:M28">
      <formula1>$Y$7:$Y$8</formula1>
    </dataValidation>
    <dataValidation type="list" allowBlank="1" showInputMessage="1" showErrorMessage="1" sqref="K28">
      <formula1>$W$7:$W$12</formula1>
    </dataValidation>
    <dataValidation type="list" allowBlank="1" showInputMessage="1" showErrorMessage="1" promptTitle="Vyber:" prompt="První převodovku_x000a_" sqref="F14:G14">
      <formula1>$AF$6:$AF$55</formula1>
    </dataValidation>
    <dataValidation type="list" allowBlank="1" showInputMessage="1" showErrorMessage="1" promptTitle="Vyber:" prompt="Druhou převodovku_x000a_" sqref="H14">
      <formula1>$AP$6:$AP$55</formula1>
    </dataValidation>
    <dataValidation type="list" allowBlank="1" showInputMessage="1" showErrorMessage="1" promptTitle="Vyber:" prompt="Maximální otáčky motoru_x000a_" sqref="D12">
      <formula1>$AL$75:$AL$155</formula1>
    </dataValidation>
    <dataValidation type="list" allowBlank="1" showInputMessage="1" showErrorMessage="1" promptTitle="Vyber:" prompt="Minimální otáčky motoru_x000a_" sqref="D11">
      <formula1>$AL$60:$AL$75</formula1>
    </dataValidation>
    <dataValidation type="list" allowBlank="1" showInputMessage="1" showErrorMessage="1" promptTitle="Vyber:" prompt="Třetí - redukční převodovku_x000a_" sqref="J15">
      <formula1>$AP$61:$AP$74</formula1>
    </dataValidation>
    <dataValidation type="list" allowBlank="1" showInputMessage="1" showErrorMessage="1" promptTitle="Vyber:" prompt="Rozměr hnacího kola (pneumatiky)_x000a_" sqref="K21">
      <formula1>$AI$61:$AI$84</formula1>
    </dataValidation>
    <dataValidation type="list" allowBlank="1" showInputMessage="1" showErrorMessage="1" promptTitle="Vyber:" prompt="Hnací nápravu_x000a_" sqref="K15">
      <formula1>$AF$61:$AF$99</formula1>
    </dataValidation>
    <dataValidation type="list" allowBlank="1" showInputMessage="1" showErrorMessage="1" promptTitle="Vyber:" prompt="Stálý převod" sqref="I15">
      <formula1>$AF$124:$AF$135</formula1>
    </dataValidation>
    <dataValidation type="list" allowBlank="1" showInputMessage="1" showErrorMessage="1" promptTitle="Vyber:" prompt="Stálý převod" sqref="G15">
      <formula1>$AF$105:$AF$116</formula1>
    </dataValidation>
    <dataValidation type="list" allowBlank="1" showInputMessage="1" showErrorMessage="1" promptTitle="Vyber:" prompt="Mezipřevodový poměr tvořený řetězem, či mezipřevodovkou." sqref="G20">
      <formula1>$AI$88:$AI$92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V10:V1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D4EA4915-C97D-4700-A5D9-DA8F72ADD1C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U72"/>
  <sheetViews>
    <sheetView showGridLines="0" workbookViewId="0"/>
  </sheetViews>
  <sheetFormatPr defaultRowHeight="15" customHeight="1" x14ac:dyDescent="0.25"/>
  <cols>
    <col min="4" max="4" width="18.5703125" bestFit="1" customWidth="1"/>
    <col min="6" max="6" width="11.28515625" customWidth="1"/>
    <col min="7" max="7" width="12.5703125" bestFit="1" customWidth="1"/>
    <col min="8" max="8" width="10.5703125" customWidth="1"/>
    <col min="9" max="9" width="18.5703125" customWidth="1"/>
    <col min="11" max="11" width="9" customWidth="1"/>
    <col min="13" max="13" width="13.5703125" customWidth="1"/>
    <col min="14" max="15" width="9.140625" customWidth="1"/>
    <col min="16" max="16" width="21.85546875" customWidth="1"/>
    <col min="17" max="17" width="24.5703125" hidden="1" customWidth="1"/>
    <col min="18" max="19" width="0" hidden="1" customWidth="1"/>
    <col min="20" max="20" width="21.42578125" hidden="1" customWidth="1"/>
    <col min="21" max="21" width="0" hidden="1" customWidth="1"/>
    <col min="32" max="32" width="25.28515625" customWidth="1"/>
    <col min="35" max="35" width="9.140625" customWidth="1"/>
  </cols>
  <sheetData>
    <row r="1" spans="3:21" ht="15" customHeight="1" thickBot="1" x14ac:dyDescent="0.3"/>
    <row r="2" spans="3:21" ht="21.75" customHeight="1" thickBot="1" x14ac:dyDescent="0.35">
      <c r="C2" s="89" t="s">
        <v>284</v>
      </c>
      <c r="Q2" s="202" t="s">
        <v>204</v>
      </c>
      <c r="R2" s="203"/>
      <c r="T2" s="202" t="s">
        <v>205</v>
      </c>
      <c r="U2" s="203"/>
    </row>
    <row r="3" spans="3:21" ht="15" customHeight="1" x14ac:dyDescent="0.25">
      <c r="Q3" s="50" t="s">
        <v>34</v>
      </c>
      <c r="R3" s="67" t="s">
        <v>47</v>
      </c>
      <c r="T3" s="50" t="s">
        <v>34</v>
      </c>
      <c r="U3" s="67" t="s">
        <v>47</v>
      </c>
    </row>
    <row r="4" spans="3:21" ht="15" customHeight="1" thickBot="1" x14ac:dyDescent="0.3">
      <c r="Q4" s="16"/>
      <c r="R4" s="13"/>
      <c r="T4" s="16"/>
      <c r="U4" s="13"/>
    </row>
    <row r="5" spans="3:21" ht="15" customHeight="1" x14ac:dyDescent="0.25">
      <c r="K5" s="113"/>
      <c r="Q5" s="128" t="s">
        <v>48</v>
      </c>
      <c r="R5" s="129">
        <f>D36</f>
        <v>5.8</v>
      </c>
      <c r="T5" s="128" t="s">
        <v>48</v>
      </c>
      <c r="U5" s="129">
        <f>J36</f>
        <v>4.2</v>
      </c>
    </row>
    <row r="6" spans="3:21" ht="15" customHeight="1" x14ac:dyDescent="0.25">
      <c r="Q6" s="125" t="s">
        <v>39</v>
      </c>
      <c r="R6" s="131">
        <v>5.15</v>
      </c>
      <c r="T6" s="125" t="s">
        <v>39</v>
      </c>
      <c r="U6" s="131">
        <v>5.15</v>
      </c>
    </row>
    <row r="7" spans="3:21" ht="15" customHeight="1" x14ac:dyDescent="0.25">
      <c r="Q7" s="125" t="s">
        <v>16</v>
      </c>
      <c r="R7" s="132">
        <v>4.57</v>
      </c>
      <c r="T7" s="125" t="s">
        <v>16</v>
      </c>
      <c r="U7" s="132">
        <v>4.57</v>
      </c>
    </row>
    <row r="8" spans="3:21" ht="15" customHeight="1" x14ac:dyDescent="0.25">
      <c r="F8" s="267" t="s">
        <v>174</v>
      </c>
      <c r="G8" s="267"/>
      <c r="Q8" s="125" t="s">
        <v>17</v>
      </c>
      <c r="R8" s="131">
        <v>4.7140000000000004</v>
      </c>
      <c r="T8" s="125" t="s">
        <v>17</v>
      </c>
      <c r="U8" s="131">
        <v>4.7140000000000004</v>
      </c>
    </row>
    <row r="9" spans="3:21" ht="15" customHeight="1" x14ac:dyDescent="0.25">
      <c r="D9" s="108" t="s">
        <v>167</v>
      </c>
      <c r="I9" s="108" t="s">
        <v>168</v>
      </c>
      <c r="Q9" s="124" t="s">
        <v>183</v>
      </c>
      <c r="R9" s="133">
        <v>5.57</v>
      </c>
      <c r="T9" s="124" t="s">
        <v>183</v>
      </c>
      <c r="U9" s="133">
        <v>5.57</v>
      </c>
    </row>
    <row r="10" spans="3:21" ht="15" customHeight="1" x14ac:dyDescent="0.25">
      <c r="D10" s="109" t="s">
        <v>39</v>
      </c>
      <c r="F10" s="267" t="s">
        <v>171</v>
      </c>
      <c r="G10" s="267"/>
      <c r="I10" s="109" t="s">
        <v>10</v>
      </c>
      <c r="Q10" s="124" t="s">
        <v>184</v>
      </c>
      <c r="R10" s="136">
        <v>5.38</v>
      </c>
      <c r="T10" s="124" t="s">
        <v>184</v>
      </c>
      <c r="U10" s="136">
        <v>5.38</v>
      </c>
    </row>
    <row r="11" spans="3:21" ht="15" customHeight="1" x14ac:dyDescent="0.25">
      <c r="D11" s="22">
        <f>VLOOKUP(D10,Q5:R43,2,FALSE)</f>
        <v>5.15</v>
      </c>
      <c r="F11" s="231" t="s">
        <v>170</v>
      </c>
      <c r="G11" s="234">
        <f>(I11/I15)/(D11/D15)</f>
        <v>1.0112434951456311</v>
      </c>
      <c r="I11" s="22">
        <f>VLOOKUP(I10,T5:U43,2,FALSE)</f>
        <v>8.3460000000000001</v>
      </c>
      <c r="Q11" s="124" t="s">
        <v>185</v>
      </c>
      <c r="R11" s="136">
        <v>4.5599999999999996</v>
      </c>
      <c r="T11" s="124" t="s">
        <v>185</v>
      </c>
      <c r="U11" s="136">
        <v>4.5599999999999996</v>
      </c>
    </row>
    <row r="12" spans="3:21" ht="15" customHeight="1" x14ac:dyDescent="0.25">
      <c r="Q12" s="124" t="s">
        <v>186</v>
      </c>
      <c r="R12" s="136">
        <v>6.6</v>
      </c>
      <c r="T12" s="124" t="s">
        <v>186</v>
      </c>
      <c r="U12" s="136">
        <v>6.6</v>
      </c>
    </row>
    <row r="13" spans="3:21" ht="15" customHeight="1" x14ac:dyDescent="0.25">
      <c r="D13" s="108" t="s">
        <v>169</v>
      </c>
      <c r="E13" s="108"/>
      <c r="F13" s="108"/>
      <c r="G13" s="108"/>
      <c r="H13" s="108"/>
      <c r="I13" s="108" t="s">
        <v>237</v>
      </c>
      <c r="Q13" s="124" t="s">
        <v>197</v>
      </c>
      <c r="R13" s="136">
        <v>6.17</v>
      </c>
      <c r="T13" s="124" t="s">
        <v>197</v>
      </c>
      <c r="U13" s="136">
        <v>6.17</v>
      </c>
    </row>
    <row r="14" spans="3:21" ht="15" customHeight="1" x14ac:dyDescent="0.25">
      <c r="D14" s="109" t="s">
        <v>58</v>
      </c>
      <c r="I14" s="109" t="s">
        <v>242</v>
      </c>
      <c r="Q14" s="125" t="s">
        <v>41</v>
      </c>
      <c r="R14" s="134">
        <v>3.64</v>
      </c>
      <c r="T14" s="125" t="s">
        <v>41</v>
      </c>
      <c r="U14" s="134">
        <v>3.64</v>
      </c>
    </row>
    <row r="15" spans="3:21" ht="15" customHeight="1" x14ac:dyDescent="0.25">
      <c r="D15" s="58">
        <f>VLOOKUP(D14,Q49:R72,2,FALSE)</f>
        <v>2.34</v>
      </c>
      <c r="I15" s="58">
        <f>VLOOKUP(I14,T49:U72,2,FALSE)</f>
        <v>3.75</v>
      </c>
      <c r="Q15" s="125" t="s">
        <v>42</v>
      </c>
      <c r="R15" s="134">
        <v>3.46</v>
      </c>
      <c r="T15" s="125" t="s">
        <v>42</v>
      </c>
      <c r="U15" s="134">
        <v>3.46</v>
      </c>
    </row>
    <row r="16" spans="3:21" ht="15" customHeight="1" x14ac:dyDescent="0.3">
      <c r="E16" s="279" t="str">
        <f>IF(G11&lt;1,"Nutno dodělat převod do rychla",IF(G11&gt;1.025,"Nutno dodělat převod do pomala","Ideální poměr"))</f>
        <v>Ideální poměr</v>
      </c>
      <c r="F16" s="279"/>
      <c r="G16" s="279"/>
      <c r="H16" s="279"/>
      <c r="Q16" s="124" t="s">
        <v>187</v>
      </c>
      <c r="R16" s="136">
        <v>5.1660000000000004</v>
      </c>
      <c r="T16" s="124" t="s">
        <v>187</v>
      </c>
      <c r="U16" s="136">
        <v>5.1660000000000004</v>
      </c>
    </row>
    <row r="17" spans="1:21" ht="15" customHeight="1" x14ac:dyDescent="0.25">
      <c r="Q17" s="125" t="s">
        <v>36</v>
      </c>
      <c r="R17" s="131">
        <v>6.83</v>
      </c>
      <c r="T17" s="125" t="s">
        <v>36</v>
      </c>
      <c r="U17" s="131">
        <v>6.83</v>
      </c>
    </row>
    <row r="18" spans="1:21" ht="20.25" customHeight="1" x14ac:dyDescent="0.3">
      <c r="E18" s="280" t="s">
        <v>283</v>
      </c>
      <c r="F18" s="280"/>
      <c r="G18" s="232">
        <f>G11-1</f>
        <v>1.1243495145631055E-2</v>
      </c>
      <c r="H18" s="233" t="str">
        <f>IF(G18&lt;0,"pomalejší","rychlejší")</f>
        <v>rychlejší</v>
      </c>
      <c r="Q18" s="125" t="s">
        <v>9</v>
      </c>
      <c r="R18" s="134">
        <v>5.125</v>
      </c>
      <c r="T18" s="125" t="s">
        <v>9</v>
      </c>
      <c r="U18" s="134">
        <v>5.125</v>
      </c>
    </row>
    <row r="19" spans="1:21" ht="15" customHeight="1" x14ac:dyDescent="0.25">
      <c r="E19" s="230" t="s">
        <v>172</v>
      </c>
      <c r="Q19" s="124" t="s">
        <v>188</v>
      </c>
      <c r="R19" s="136">
        <v>5.36</v>
      </c>
      <c r="T19" s="124" t="s">
        <v>188</v>
      </c>
      <c r="U19" s="136">
        <v>5.36</v>
      </c>
    </row>
    <row r="20" spans="1:21" ht="15" customHeight="1" x14ac:dyDescent="0.25">
      <c r="Q20" s="124" t="s">
        <v>189</v>
      </c>
      <c r="R20" s="136">
        <v>4.6399999999999997</v>
      </c>
      <c r="T20" s="124" t="s">
        <v>189</v>
      </c>
      <c r="U20" s="136">
        <v>4.6399999999999997</v>
      </c>
    </row>
    <row r="21" spans="1:21" ht="15" customHeight="1" thickBot="1" x14ac:dyDescent="0.3">
      <c r="J21" s="254" t="s">
        <v>268</v>
      </c>
      <c r="K21" s="254"/>
      <c r="L21" s="254"/>
      <c r="M21" s="254"/>
      <c r="N21" s="254"/>
      <c r="Q21" s="124" t="s">
        <v>190</v>
      </c>
      <c r="R21" s="136">
        <v>5.36</v>
      </c>
      <c r="T21" s="124" t="s">
        <v>190</v>
      </c>
      <c r="U21" s="136">
        <v>5.36</v>
      </c>
    </row>
    <row r="22" spans="1:21" ht="15" customHeight="1" x14ac:dyDescent="0.25">
      <c r="F22" t="s">
        <v>179</v>
      </c>
      <c r="G22" s="36">
        <v>1</v>
      </c>
      <c r="Q22" s="124" t="s">
        <v>191</v>
      </c>
      <c r="R22" s="136">
        <v>6.7</v>
      </c>
      <c r="T22" s="124" t="s">
        <v>191</v>
      </c>
      <c r="U22" s="136">
        <v>6.7</v>
      </c>
    </row>
    <row r="23" spans="1:21" ht="15" customHeight="1" x14ac:dyDescent="0.25">
      <c r="F23" t="s">
        <v>178</v>
      </c>
      <c r="G23" s="24">
        <f>G11</f>
        <v>1.0112434951456311</v>
      </c>
      <c r="J23" t="s">
        <v>266</v>
      </c>
      <c r="N23" s="44">
        <v>33</v>
      </c>
      <c r="O23" t="s">
        <v>267</v>
      </c>
      <c r="Q23" s="124" t="s">
        <v>199</v>
      </c>
      <c r="R23" s="136">
        <v>4.0999999999999996</v>
      </c>
      <c r="T23" s="124" t="s">
        <v>199</v>
      </c>
      <c r="U23" s="136">
        <v>4.0999999999999996</v>
      </c>
    </row>
    <row r="24" spans="1:21" ht="15" customHeight="1" x14ac:dyDescent="0.25">
      <c r="J24" t="s">
        <v>282</v>
      </c>
      <c r="N24" s="209">
        <f>N23*G11</f>
        <v>33.371035339805822</v>
      </c>
      <c r="O24" t="s">
        <v>267</v>
      </c>
      <c r="Q24" s="125" t="s">
        <v>45</v>
      </c>
      <c r="R24" s="134">
        <v>15.5</v>
      </c>
      <c r="T24" s="125" t="s">
        <v>45</v>
      </c>
      <c r="U24" s="134">
        <v>15.5</v>
      </c>
    </row>
    <row r="25" spans="1:21" ht="15" customHeight="1" x14ac:dyDescent="0.25">
      <c r="Q25" s="125" t="s">
        <v>46</v>
      </c>
      <c r="R25" s="131">
        <v>7.5</v>
      </c>
      <c r="T25" s="125" t="s">
        <v>46</v>
      </c>
      <c r="U25" s="131">
        <v>7.5</v>
      </c>
    </row>
    <row r="26" spans="1:21" ht="15" customHeight="1" x14ac:dyDescent="0.25">
      <c r="Q26" s="124" t="s">
        <v>200</v>
      </c>
      <c r="R26" s="136">
        <v>3.92</v>
      </c>
      <c r="T26" s="124" t="s">
        <v>200</v>
      </c>
      <c r="U26" s="136">
        <v>3.92</v>
      </c>
    </row>
    <row r="27" spans="1:21" ht="15" customHeight="1" x14ac:dyDescent="0.25">
      <c r="Q27" s="125" t="s">
        <v>37</v>
      </c>
      <c r="R27" s="131">
        <v>5.17</v>
      </c>
      <c r="T27" s="125" t="s">
        <v>37</v>
      </c>
      <c r="U27" s="131">
        <v>5.17</v>
      </c>
    </row>
    <row r="28" spans="1:21" ht="15" customHeight="1" x14ac:dyDescent="0.25">
      <c r="Q28" s="124" t="s">
        <v>192</v>
      </c>
      <c r="R28" s="136">
        <v>5.86</v>
      </c>
      <c r="T28" s="124" t="s">
        <v>192</v>
      </c>
      <c r="U28" s="136">
        <v>5.86</v>
      </c>
    </row>
    <row r="29" spans="1:21" ht="15" customHeight="1" x14ac:dyDescent="0.25">
      <c r="Q29" s="124" t="s">
        <v>202</v>
      </c>
      <c r="R29" s="136">
        <v>4.1109999999999998</v>
      </c>
      <c r="T29" s="124" t="s">
        <v>202</v>
      </c>
      <c r="U29" s="136">
        <v>4.1109999999999998</v>
      </c>
    </row>
    <row r="30" spans="1:21" ht="15" customHeight="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Q30" s="124" t="s">
        <v>201</v>
      </c>
      <c r="R30" s="136">
        <v>3.7269999999999999</v>
      </c>
      <c r="T30" s="124" t="s">
        <v>201</v>
      </c>
      <c r="U30" s="136">
        <v>3.7269999999999999</v>
      </c>
    </row>
    <row r="31" spans="1:21" ht="15" customHeight="1" thickBot="1" x14ac:dyDescent="0.3">
      <c r="A31" s="14"/>
      <c r="B31" s="14"/>
      <c r="C31" s="14"/>
      <c r="D31" s="14"/>
      <c r="E31" s="254" t="s">
        <v>147</v>
      </c>
      <c r="F31" s="254"/>
      <c r="G31" s="254"/>
      <c r="H31" s="254"/>
      <c r="I31" s="14"/>
      <c r="J31" s="14"/>
      <c r="K31" s="14"/>
      <c r="Q31" s="228" t="s">
        <v>193</v>
      </c>
      <c r="R31" s="229">
        <v>3.9089999999999998</v>
      </c>
      <c r="S31" s="85"/>
      <c r="T31" s="228" t="s">
        <v>193</v>
      </c>
      <c r="U31" s="229">
        <v>3.9089999999999998</v>
      </c>
    </row>
    <row r="32" spans="1:21" ht="15" customHeight="1" x14ac:dyDescent="0.25">
      <c r="Q32" s="124" t="s">
        <v>198</v>
      </c>
      <c r="R32" s="136">
        <v>4.22</v>
      </c>
      <c r="T32" s="124" t="s">
        <v>198</v>
      </c>
      <c r="U32" s="136">
        <v>4.22</v>
      </c>
    </row>
    <row r="33" spans="1:21" ht="15" customHeight="1" x14ac:dyDescent="0.25">
      <c r="C33" s="77" t="s">
        <v>176</v>
      </c>
      <c r="D33" s="77"/>
      <c r="E33" s="77"/>
      <c r="F33" s="77"/>
      <c r="G33" s="112"/>
      <c r="H33" s="77"/>
      <c r="I33" s="77" t="s">
        <v>175</v>
      </c>
      <c r="J33" s="77"/>
      <c r="K33" s="111"/>
      <c r="Q33" s="125" t="s">
        <v>51</v>
      </c>
      <c r="R33" s="131">
        <v>5.86</v>
      </c>
      <c r="T33" s="125" t="s">
        <v>51</v>
      </c>
      <c r="U33" s="131">
        <v>5.86</v>
      </c>
    </row>
    <row r="34" spans="1:21" ht="15" customHeight="1" x14ac:dyDescent="0.25">
      <c r="G34" s="53"/>
      <c r="Q34" s="125" t="s">
        <v>40</v>
      </c>
      <c r="R34" s="134">
        <v>4.78</v>
      </c>
      <c r="T34" s="125" t="s">
        <v>40</v>
      </c>
      <c r="U34" s="134">
        <v>4.78</v>
      </c>
    </row>
    <row r="35" spans="1:21" ht="15" customHeight="1" x14ac:dyDescent="0.25">
      <c r="A35" s="74"/>
      <c r="B35" s="14"/>
      <c r="C35" s="163" t="s">
        <v>89</v>
      </c>
      <c r="D35" s="163"/>
      <c r="E35" s="163"/>
      <c r="F35" s="110"/>
      <c r="G35" s="74"/>
      <c r="H35" s="14"/>
      <c r="I35" s="163" t="s">
        <v>89</v>
      </c>
      <c r="J35" s="163"/>
      <c r="K35" s="163"/>
      <c r="Q35" s="125" t="s">
        <v>44</v>
      </c>
      <c r="R35" s="134">
        <v>7.44</v>
      </c>
      <c r="T35" s="125" t="s">
        <v>44</v>
      </c>
      <c r="U35" s="134">
        <v>7.44</v>
      </c>
    </row>
    <row r="36" spans="1:21" ht="15" customHeight="1" x14ac:dyDescent="0.25">
      <c r="A36" s="72" t="str">
        <f>IF(D10="Vlastní převod","Zde přepsat -&gt;","")</f>
        <v/>
      </c>
      <c r="B36" s="208"/>
      <c r="C36" t="s">
        <v>87</v>
      </c>
      <c r="D36" s="226">
        <v>5.8</v>
      </c>
      <c r="E36" t="s">
        <v>102</v>
      </c>
      <c r="G36" s="72" t="str">
        <f>IF(I10="Vlastní převod","Zde přepsat -&gt;","")</f>
        <v/>
      </c>
      <c r="H36" s="208"/>
      <c r="I36" t="s">
        <v>87</v>
      </c>
      <c r="J36" s="226">
        <v>4.2</v>
      </c>
      <c r="K36" t="s">
        <v>102</v>
      </c>
      <c r="Q36" s="125" t="s">
        <v>43</v>
      </c>
      <c r="R36" s="134">
        <v>3.15</v>
      </c>
      <c r="T36" s="125" t="s">
        <v>43</v>
      </c>
      <c r="U36" s="134">
        <v>3.15</v>
      </c>
    </row>
    <row r="37" spans="1:21" ht="15" customHeight="1" x14ac:dyDescent="0.25">
      <c r="A37" s="74"/>
      <c r="B37" s="14"/>
      <c r="G37" s="74"/>
      <c r="H37" s="14"/>
      <c r="Q37" s="125" t="s">
        <v>10</v>
      </c>
      <c r="R37" s="131">
        <v>8.3460000000000001</v>
      </c>
      <c r="T37" s="125" t="s">
        <v>10</v>
      </c>
      <c r="U37" s="131">
        <v>8.3460000000000001</v>
      </c>
    </row>
    <row r="38" spans="1:21" ht="15" customHeight="1" x14ac:dyDescent="0.25">
      <c r="A38" s="75"/>
      <c r="B38" s="14"/>
      <c r="C38" s="49" t="s">
        <v>91</v>
      </c>
      <c r="D38" s="49"/>
      <c r="E38" s="49"/>
      <c r="G38" s="75"/>
      <c r="H38" s="14"/>
      <c r="I38" s="49" t="s">
        <v>91</v>
      </c>
      <c r="J38" s="49"/>
      <c r="K38" s="49"/>
      <c r="Q38" s="125" t="s">
        <v>35</v>
      </c>
      <c r="R38" s="131">
        <v>3.9</v>
      </c>
      <c r="T38" s="125" t="s">
        <v>35</v>
      </c>
      <c r="U38" s="131">
        <v>3.9</v>
      </c>
    </row>
    <row r="39" spans="1:21" ht="15" customHeight="1" x14ac:dyDescent="0.25">
      <c r="A39" s="72" t="str">
        <f>IF(D14="Vlastní rozměr","Zde přepsat -&gt;","")</f>
        <v/>
      </c>
      <c r="B39" s="208"/>
      <c r="C39" t="s">
        <v>114</v>
      </c>
      <c r="D39" s="52">
        <f>PI()*((2*(D41*D42/100))+(25.4*D43))/1000</f>
        <v>2.0546015954477248</v>
      </c>
      <c r="E39" t="s">
        <v>92</v>
      </c>
      <c r="F39" s="63"/>
      <c r="G39" s="72" t="str">
        <f>IF(I14="Vlastní rozměr","Zde přepsat -&gt;","")</f>
        <v/>
      </c>
      <c r="H39" s="208"/>
      <c r="I39" t="s">
        <v>114</v>
      </c>
      <c r="J39" s="52">
        <f>PI()*((2*(J41*J42/100))+(25.4*J43))/1000</f>
        <v>1.9320794819577227</v>
      </c>
      <c r="K39" t="s">
        <v>92</v>
      </c>
      <c r="Q39" s="124" t="s">
        <v>194</v>
      </c>
      <c r="R39" s="136">
        <v>4.4400000000000004</v>
      </c>
      <c r="T39" s="124" t="s">
        <v>194</v>
      </c>
      <c r="U39" s="136">
        <v>4.4400000000000004</v>
      </c>
    </row>
    <row r="40" spans="1:21" ht="15" customHeight="1" x14ac:dyDescent="0.25">
      <c r="A40" s="74"/>
      <c r="B40" s="14"/>
      <c r="G40" s="74"/>
      <c r="H40" s="14"/>
      <c r="Q40" s="124" t="s">
        <v>195</v>
      </c>
      <c r="R40" s="136">
        <v>4.4400000000000004</v>
      </c>
      <c r="T40" s="124" t="s">
        <v>195</v>
      </c>
      <c r="U40" s="136">
        <v>4.4400000000000004</v>
      </c>
    </row>
    <row r="41" spans="1:21" ht="15" customHeight="1" x14ac:dyDescent="0.25">
      <c r="A41" s="72" t="str">
        <f>IF(D14="Vlastní rozměr","Nebo zde  -&gt;","")</f>
        <v/>
      </c>
      <c r="B41" s="208"/>
      <c r="C41" t="s">
        <v>96</v>
      </c>
      <c r="D41" s="44">
        <v>195</v>
      </c>
      <c r="E41" t="s">
        <v>98</v>
      </c>
      <c r="G41" s="72" t="str">
        <f>IF(I14="Vlastní rozměr","Nebo zde  -&gt;","")</f>
        <v/>
      </c>
      <c r="H41" s="208"/>
      <c r="I41" t="s">
        <v>96</v>
      </c>
      <c r="J41" s="44">
        <v>195</v>
      </c>
      <c r="K41" t="s">
        <v>98</v>
      </c>
      <c r="Q41" s="124" t="s">
        <v>196</v>
      </c>
      <c r="R41" s="136">
        <v>4.3</v>
      </c>
      <c r="T41" s="124" t="s">
        <v>196</v>
      </c>
      <c r="U41" s="136">
        <v>4.3</v>
      </c>
    </row>
    <row r="42" spans="1:21" ht="15" customHeight="1" x14ac:dyDescent="0.25">
      <c r="A42" s="53"/>
      <c r="B42" s="14"/>
      <c r="C42" t="s">
        <v>95</v>
      </c>
      <c r="D42" s="44">
        <v>70</v>
      </c>
      <c r="E42" t="s">
        <v>99</v>
      </c>
      <c r="G42" s="53"/>
      <c r="H42" s="14"/>
      <c r="I42" t="s">
        <v>95</v>
      </c>
      <c r="J42" s="44">
        <v>60</v>
      </c>
      <c r="K42" t="s">
        <v>99</v>
      </c>
      <c r="Q42" s="124" t="s">
        <v>203</v>
      </c>
      <c r="R42" s="136">
        <v>4.2699999999999996</v>
      </c>
      <c r="T42" s="124" t="s">
        <v>203</v>
      </c>
      <c r="U42" s="136">
        <v>4.2699999999999996</v>
      </c>
    </row>
    <row r="43" spans="1:21" ht="15" customHeight="1" thickBot="1" x14ac:dyDescent="0.3">
      <c r="A43" s="53"/>
      <c r="B43" s="14"/>
      <c r="C43" t="s">
        <v>97</v>
      </c>
      <c r="D43" s="44">
        <v>15</v>
      </c>
      <c r="E43" t="s">
        <v>100</v>
      </c>
      <c r="G43" s="53"/>
      <c r="H43" s="14"/>
      <c r="I43" t="s">
        <v>97</v>
      </c>
      <c r="J43" s="44">
        <v>15</v>
      </c>
      <c r="K43" t="s">
        <v>100</v>
      </c>
      <c r="Q43" s="130" t="s">
        <v>38</v>
      </c>
      <c r="R43" s="135">
        <v>5.125</v>
      </c>
      <c r="T43" s="130" t="s">
        <v>38</v>
      </c>
      <c r="U43" s="135">
        <v>5.125</v>
      </c>
    </row>
    <row r="44" spans="1:21" ht="15" customHeight="1" x14ac:dyDescent="0.25">
      <c r="C44" t="s">
        <v>177</v>
      </c>
      <c r="D44" s="36">
        <f>PI()*((2*(D41*D42/100))+(25.4*D43))/1000</f>
        <v>2.0546015954477248</v>
      </c>
      <c r="E44" t="s">
        <v>92</v>
      </c>
      <c r="I44" t="s">
        <v>177</v>
      </c>
      <c r="J44" s="36">
        <f>PI()*((2*(J41*J42/100))+(25.4*J43))/1000</f>
        <v>1.9320794819577227</v>
      </c>
      <c r="K44" t="s">
        <v>92</v>
      </c>
    </row>
    <row r="45" spans="1:21" ht="15" customHeight="1" thickBot="1" x14ac:dyDescent="0.3"/>
    <row r="46" spans="1:21" ht="15" customHeight="1" thickBot="1" x14ac:dyDescent="0.3">
      <c r="Q46" s="204" t="s">
        <v>165</v>
      </c>
      <c r="R46" s="205"/>
      <c r="T46" s="204" t="s">
        <v>166</v>
      </c>
      <c r="U46" s="205"/>
    </row>
    <row r="47" spans="1:21" ht="15" customHeight="1" x14ac:dyDescent="0.25">
      <c r="Q47" s="50" t="s">
        <v>53</v>
      </c>
      <c r="R47" s="67" t="s">
        <v>54</v>
      </c>
      <c r="T47" s="50" t="s">
        <v>53</v>
      </c>
      <c r="U47" s="67" t="s">
        <v>54</v>
      </c>
    </row>
    <row r="48" spans="1:21" ht="15" customHeight="1" x14ac:dyDescent="0.25">
      <c r="Q48" s="4"/>
      <c r="R48" s="6"/>
      <c r="T48" s="4"/>
      <c r="U48" s="6"/>
    </row>
    <row r="49" spans="17:21" ht="15" customHeight="1" x14ac:dyDescent="0.25">
      <c r="Q49" s="115" t="s">
        <v>90</v>
      </c>
      <c r="R49" s="192">
        <f>D39</f>
        <v>2.0546015954477248</v>
      </c>
      <c r="T49" s="115" t="s">
        <v>90</v>
      </c>
      <c r="U49" s="116">
        <f>J39</f>
        <v>1.9320794819577227</v>
      </c>
    </row>
    <row r="50" spans="17:21" ht="15" customHeight="1" x14ac:dyDescent="0.25">
      <c r="Q50" s="191" t="s">
        <v>261</v>
      </c>
      <c r="R50" s="194">
        <v>1.25</v>
      </c>
      <c r="T50" s="191" t="s">
        <v>261</v>
      </c>
      <c r="U50" s="194">
        <v>1.25</v>
      </c>
    </row>
    <row r="51" spans="17:21" ht="15" customHeight="1" x14ac:dyDescent="0.25">
      <c r="Q51" s="117" t="s">
        <v>180</v>
      </c>
      <c r="R51" s="192">
        <v>1.37</v>
      </c>
      <c r="T51" s="117" t="s">
        <v>180</v>
      </c>
      <c r="U51" s="192">
        <v>1.37</v>
      </c>
    </row>
    <row r="52" spans="17:21" ht="15" customHeight="1" x14ac:dyDescent="0.25">
      <c r="Q52" s="117" t="s">
        <v>181</v>
      </c>
      <c r="R52" s="192">
        <v>1.52</v>
      </c>
      <c r="T52" s="117" t="s">
        <v>181</v>
      </c>
      <c r="U52" s="192">
        <v>1.52</v>
      </c>
    </row>
    <row r="53" spans="17:21" ht="15" customHeight="1" x14ac:dyDescent="0.25">
      <c r="Q53" s="117" t="s">
        <v>55</v>
      </c>
      <c r="R53" s="193">
        <v>1.7050000000000001</v>
      </c>
      <c r="T53" s="117" t="s">
        <v>55</v>
      </c>
      <c r="U53" s="193">
        <v>1.7050000000000001</v>
      </c>
    </row>
    <row r="54" spans="17:21" ht="15" customHeight="1" x14ac:dyDescent="0.25">
      <c r="Q54" s="117" t="s">
        <v>113</v>
      </c>
      <c r="R54" s="192">
        <v>1.81</v>
      </c>
      <c r="T54" s="117" t="s">
        <v>113</v>
      </c>
      <c r="U54" s="192">
        <v>1.81</v>
      </c>
    </row>
    <row r="55" spans="17:21" ht="15" customHeight="1" x14ac:dyDescent="0.25">
      <c r="Q55" s="191" t="s">
        <v>262</v>
      </c>
      <c r="R55" s="194">
        <v>1.83</v>
      </c>
      <c r="T55" s="191" t="s">
        <v>262</v>
      </c>
      <c r="U55" s="194">
        <v>1.83</v>
      </c>
    </row>
    <row r="56" spans="17:21" ht="15" customHeight="1" x14ac:dyDescent="0.25">
      <c r="Q56" s="114" t="s">
        <v>56</v>
      </c>
      <c r="R56" s="193">
        <v>2.04</v>
      </c>
      <c r="T56" s="114" t="s">
        <v>56</v>
      </c>
      <c r="U56" s="193">
        <v>2.04</v>
      </c>
    </row>
    <row r="57" spans="17:21" ht="15" customHeight="1" x14ac:dyDescent="0.25">
      <c r="Q57" s="114" t="s">
        <v>57</v>
      </c>
      <c r="R57" s="194">
        <v>2.16</v>
      </c>
      <c r="T57" s="114" t="s">
        <v>57</v>
      </c>
      <c r="U57" s="194">
        <v>2.16</v>
      </c>
    </row>
    <row r="58" spans="17:21" ht="15" customHeight="1" x14ac:dyDescent="0.25">
      <c r="Q58" s="191" t="s">
        <v>259</v>
      </c>
      <c r="R58" s="194">
        <v>2.2949999999999999</v>
      </c>
      <c r="T58" s="191" t="s">
        <v>259</v>
      </c>
      <c r="U58" s="194">
        <v>2.2949999999999999</v>
      </c>
    </row>
    <row r="59" spans="17:21" ht="15" customHeight="1" x14ac:dyDescent="0.25">
      <c r="Q59" s="114" t="s">
        <v>58</v>
      </c>
      <c r="R59" s="193">
        <v>2.34</v>
      </c>
      <c r="T59" s="114" t="s">
        <v>58</v>
      </c>
      <c r="U59" s="193">
        <v>2.34</v>
      </c>
    </row>
    <row r="60" spans="17:21" ht="15" customHeight="1" x14ac:dyDescent="0.25">
      <c r="Q60" s="114" t="s">
        <v>59</v>
      </c>
      <c r="R60" s="193">
        <v>2.36</v>
      </c>
      <c r="T60" s="114" t="s">
        <v>59</v>
      </c>
      <c r="U60" s="193">
        <v>2.36</v>
      </c>
    </row>
    <row r="61" spans="17:21" ht="15" customHeight="1" x14ac:dyDescent="0.25">
      <c r="Q61" s="118" t="s">
        <v>61</v>
      </c>
      <c r="R61" s="192">
        <v>2.5</v>
      </c>
      <c r="T61" s="118" t="s">
        <v>61</v>
      </c>
      <c r="U61" s="192">
        <v>2.5</v>
      </c>
    </row>
    <row r="62" spans="17:21" ht="15" customHeight="1" x14ac:dyDescent="0.25">
      <c r="Q62" s="191" t="s">
        <v>260</v>
      </c>
      <c r="R62" s="194">
        <v>2.5499999999999998</v>
      </c>
      <c r="T62" s="191" t="s">
        <v>260</v>
      </c>
      <c r="U62" s="194">
        <v>2.5499999999999998</v>
      </c>
    </row>
    <row r="63" spans="17:21" ht="15" customHeight="1" x14ac:dyDescent="0.25">
      <c r="Q63" s="191" t="s">
        <v>263</v>
      </c>
      <c r="R63" s="194">
        <v>2.66</v>
      </c>
      <c r="T63" s="191" t="s">
        <v>263</v>
      </c>
      <c r="U63" s="194">
        <v>2.66</v>
      </c>
    </row>
    <row r="64" spans="17:21" ht="15" customHeight="1" x14ac:dyDescent="0.25">
      <c r="Q64" s="114" t="s">
        <v>60</v>
      </c>
      <c r="R64" s="193">
        <v>2.78</v>
      </c>
      <c r="T64" s="114" t="s">
        <v>60</v>
      </c>
      <c r="U64" s="193">
        <v>2.78</v>
      </c>
    </row>
    <row r="65" spans="17:21" ht="15" customHeight="1" x14ac:dyDescent="0.25">
      <c r="Q65" s="114" t="s">
        <v>238</v>
      </c>
      <c r="R65" s="194">
        <v>3</v>
      </c>
      <c r="T65" s="114" t="s">
        <v>238</v>
      </c>
      <c r="U65" s="194">
        <v>3</v>
      </c>
    </row>
    <row r="66" spans="17:21" ht="15" customHeight="1" x14ac:dyDescent="0.25">
      <c r="Q66" s="114" t="s">
        <v>62</v>
      </c>
      <c r="R66" s="194">
        <v>3.3</v>
      </c>
      <c r="T66" s="114" t="s">
        <v>62</v>
      </c>
      <c r="U66" s="194">
        <v>3.3</v>
      </c>
    </row>
    <row r="67" spans="17:21" ht="15" customHeight="1" x14ac:dyDescent="0.25">
      <c r="Q67" s="114" t="s">
        <v>239</v>
      </c>
      <c r="R67" s="194">
        <v>3.33</v>
      </c>
      <c r="T67" s="114" t="s">
        <v>239</v>
      </c>
      <c r="U67" s="194">
        <v>3.33</v>
      </c>
    </row>
    <row r="68" spans="17:21" ht="15" customHeight="1" x14ac:dyDescent="0.25">
      <c r="Q68" s="114" t="s">
        <v>182</v>
      </c>
      <c r="R68" s="194">
        <v>3.4729999999999999</v>
      </c>
      <c r="T68" s="114" t="s">
        <v>182</v>
      </c>
      <c r="U68" s="194">
        <v>3.4729999999999999</v>
      </c>
    </row>
    <row r="69" spans="17:21" ht="15" customHeight="1" x14ac:dyDescent="0.25">
      <c r="Q69" s="191" t="s">
        <v>241</v>
      </c>
      <c r="R69" s="194">
        <v>3.5550000000000002</v>
      </c>
      <c r="T69" s="191" t="s">
        <v>241</v>
      </c>
      <c r="U69" s="194">
        <v>3.5550000000000002</v>
      </c>
    </row>
    <row r="70" spans="17:21" ht="15" customHeight="1" x14ac:dyDescent="0.25">
      <c r="Q70" s="191" t="s">
        <v>242</v>
      </c>
      <c r="R70" s="194">
        <v>3.75</v>
      </c>
      <c r="T70" s="191" t="s">
        <v>242</v>
      </c>
      <c r="U70" s="194">
        <v>3.75</v>
      </c>
    </row>
    <row r="71" spans="17:21" ht="15" customHeight="1" x14ac:dyDescent="0.25">
      <c r="Q71" s="191" t="s">
        <v>240</v>
      </c>
      <c r="R71" s="194">
        <v>3.7949999999999999</v>
      </c>
      <c r="T71" s="191" t="s">
        <v>240</v>
      </c>
      <c r="U71" s="194">
        <v>3.7949999999999999</v>
      </c>
    </row>
    <row r="72" spans="17:21" ht="15" customHeight="1" thickBot="1" x14ac:dyDescent="0.3">
      <c r="Q72" s="195" t="s">
        <v>243</v>
      </c>
      <c r="R72" s="196">
        <v>4.1100000000000003</v>
      </c>
      <c r="T72" s="195" t="s">
        <v>243</v>
      </c>
      <c r="U72" s="196">
        <v>4.1100000000000003</v>
      </c>
    </row>
  </sheetData>
  <sheetProtection password="C660" sheet="1" objects="1" scenarios="1"/>
  <protectedRanges>
    <protectedRange sqref="D10 D14 I10 I14 D36 D39 J36 J39 D41:D43 J41:J43 N23" name="Oblast1"/>
  </protectedRanges>
  <mergeCells count="6">
    <mergeCell ref="J21:N21"/>
    <mergeCell ref="E31:H31"/>
    <mergeCell ref="F10:G10"/>
    <mergeCell ref="F8:G8"/>
    <mergeCell ref="E16:H16"/>
    <mergeCell ref="E18:F18"/>
  </mergeCells>
  <conditionalFormatting sqref="E16:H16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U49">
    <cfRule type="iconSet" priority="6">
      <iconSet iconSet="3Flags">
        <cfvo type="percent" val="0"/>
        <cfvo type="percent" val="33"/>
        <cfvo type="percent" val="67"/>
      </iconSet>
    </cfRule>
  </conditionalFormatting>
  <conditionalFormatting sqref="R49">
    <cfRule type="iconSet" priority="5">
      <iconSet iconSet="3Flags">
        <cfvo type="percent" val="0"/>
        <cfvo type="percent" val="33"/>
        <cfvo type="percent" val="67"/>
      </iconSet>
    </cfRule>
  </conditionalFormatting>
  <conditionalFormatting sqref="R5">
    <cfRule type="iconSet" priority="4">
      <iconSet iconSet="3Flags">
        <cfvo type="percent" val="0"/>
        <cfvo type="percent" val="33"/>
        <cfvo type="percent" val="67"/>
      </iconSet>
    </cfRule>
  </conditionalFormatting>
  <conditionalFormatting sqref="U5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K18">
    <cfRule type="iconSet" priority="2">
      <iconSet iconSet="3Symbols2">
        <cfvo type="percent" val="0"/>
        <cfvo type="percent" val="33"/>
        <cfvo type="percent" val="67"/>
      </iconSet>
    </cfRule>
  </conditionalFormatting>
  <dataValidations count="5">
    <dataValidation type="whole" allowBlank="1" showInputMessage="1" showErrorMessage="1" sqref="N23">
      <formula1>1</formula1>
      <formula2>100</formula2>
    </dataValidation>
    <dataValidation type="list" allowBlank="1" showInputMessage="1" showErrorMessage="1" promptTitle="Vyber:" prompt="Rozměr zadního kola (pneumatiky)_x000a_" sqref="I14">
      <formula1>$T$49:$T$72</formula1>
    </dataValidation>
    <dataValidation type="list" allowBlank="1" showInputMessage="1" showErrorMessage="1" promptTitle="Vyber:" prompt="Rozměr předního kola (pneumatiky)" sqref="D14">
      <formula1>$Q$49:$Q$72</formula1>
    </dataValidation>
    <dataValidation type="list" allowBlank="1" showInputMessage="1" showErrorMessage="1" promptTitle="Vyber:" prompt="Přední hnací nápravu_x000a_" sqref="D10">
      <formula1>$Q$5:$Q$43</formula1>
    </dataValidation>
    <dataValidation type="list" allowBlank="1" showInputMessage="1" showErrorMessage="1" promptTitle="Vyber:" prompt="Zadní hnací nápravu_x000a_" sqref="I10">
      <formula1>$T$5:$T$43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140973B-BAD4-43D7-8768-E526BD735373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 gte="0">
                <xm:f>2.5000000000000001E-2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G18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H103"/>
  <sheetViews>
    <sheetView showGridLines="0" workbookViewId="0"/>
  </sheetViews>
  <sheetFormatPr defaultRowHeight="15" x14ac:dyDescent="0.25"/>
  <sheetData>
    <row r="1" spans="1:8" ht="25.5" x14ac:dyDescent="0.35">
      <c r="D1" s="104" t="s">
        <v>294</v>
      </c>
    </row>
    <row r="4" spans="1:8" ht="15.75" thickBot="1" x14ac:dyDescent="0.3">
      <c r="A4" s="90" t="s">
        <v>289</v>
      </c>
    </row>
    <row r="5" spans="1:8" x14ac:dyDescent="0.25">
      <c r="A5" s="105"/>
      <c r="D5" s="262" t="s">
        <v>162</v>
      </c>
      <c r="E5" s="262"/>
      <c r="F5" s="262"/>
      <c r="G5" s="262"/>
      <c r="H5" s="262"/>
    </row>
    <row r="7" spans="1:8" x14ac:dyDescent="0.25">
      <c r="B7" t="s">
        <v>154</v>
      </c>
    </row>
    <row r="9" spans="1:8" x14ac:dyDescent="0.25">
      <c r="B9" t="s">
        <v>155</v>
      </c>
    </row>
    <row r="10" spans="1:8" x14ac:dyDescent="0.25">
      <c r="C10" t="s">
        <v>285</v>
      </c>
    </row>
    <row r="11" spans="1:8" x14ac:dyDescent="0.25">
      <c r="C11" t="s">
        <v>286</v>
      </c>
    </row>
    <row r="13" spans="1:8" x14ac:dyDescent="0.25">
      <c r="B13" t="s">
        <v>156</v>
      </c>
    </row>
    <row r="14" spans="1:8" x14ac:dyDescent="0.25">
      <c r="C14" t="s">
        <v>258</v>
      </c>
    </row>
    <row r="16" spans="1:8" x14ac:dyDescent="0.25">
      <c r="B16" t="s">
        <v>157</v>
      </c>
    </row>
    <row r="18" spans="1:3" x14ac:dyDescent="0.25">
      <c r="B18" t="s">
        <v>158</v>
      </c>
    </row>
    <row r="20" spans="1:3" x14ac:dyDescent="0.25">
      <c r="B20" t="s">
        <v>287</v>
      </c>
    </row>
    <row r="21" spans="1:3" x14ac:dyDescent="0.25">
      <c r="C21" t="s">
        <v>288</v>
      </c>
    </row>
    <row r="23" spans="1:3" ht="15.75" thickBot="1" x14ac:dyDescent="0.3">
      <c r="A23" s="90" t="s">
        <v>290</v>
      </c>
    </row>
    <row r="31" spans="1:3" ht="15.75" thickBot="1" x14ac:dyDescent="0.3">
      <c r="A31" s="90" t="s">
        <v>291</v>
      </c>
    </row>
    <row r="41" spans="1:1" ht="15.75" thickBot="1" x14ac:dyDescent="0.3">
      <c r="A41" s="90" t="s">
        <v>292</v>
      </c>
    </row>
    <row r="56" spans="1:3" ht="15.75" thickBot="1" x14ac:dyDescent="0.3">
      <c r="A56" s="90" t="s">
        <v>293</v>
      </c>
    </row>
    <row r="57" spans="1:3" x14ac:dyDescent="0.25">
      <c r="B57" t="s">
        <v>159</v>
      </c>
    </row>
    <row r="58" spans="1:3" x14ac:dyDescent="0.25">
      <c r="C58" t="s">
        <v>163</v>
      </c>
    </row>
    <row r="59" spans="1:3" x14ac:dyDescent="0.25">
      <c r="B59" t="s">
        <v>160</v>
      </c>
    </row>
    <row r="60" spans="1:3" x14ac:dyDescent="0.25">
      <c r="C60" t="s">
        <v>164</v>
      </c>
    </row>
    <row r="61" spans="1:3" x14ac:dyDescent="0.25">
      <c r="B61" t="s">
        <v>161</v>
      </c>
    </row>
    <row r="63" spans="1:3" x14ac:dyDescent="0.25">
      <c r="B63" s="157" t="s">
        <v>235</v>
      </c>
    </row>
    <row r="103" spans="4:4" ht="25.5" x14ac:dyDescent="0.35">
      <c r="D103" s="104"/>
    </row>
  </sheetData>
  <sheetProtection password="C660" sheet="1" objects="1" scenarios="1"/>
  <mergeCells count="1">
    <mergeCell ref="D5:H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Vítejte</vt:lpstr>
      <vt:lpstr>1 převodovka</vt:lpstr>
      <vt:lpstr>2 převodovky</vt:lpstr>
      <vt:lpstr>3 převodovky</vt:lpstr>
      <vt:lpstr>Poměr mezi nápravami</vt:lpstr>
      <vt:lpstr>Návod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Převody</dc:title>
  <dc:creator>Ing. Václav Baran</dc:creator>
  <cp:lastModifiedBy>Ing. Václav Baran</cp:lastModifiedBy>
  <dcterms:created xsi:type="dcterms:W3CDTF">2013-02-13T06:50:53Z</dcterms:created>
  <dcterms:modified xsi:type="dcterms:W3CDTF">2013-03-26T12:32:20Z</dcterms:modified>
</cp:coreProperties>
</file>